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<sst xmlns="http://schemas.openxmlformats.org/spreadsheetml/2006/main" count="465" uniqueCount="193">
  <si>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</si>
  <si>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</si>
  <si>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</si>
  <si>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</si>
  <si>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</si>
  <si>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</si>
  <si>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</si>
  <si>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</si>
  <si>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</si>
  <si>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</si>
  <si>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</si>
  <si>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</si>
  <si>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</si>
  <si>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</si>
  <si>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</si>
  <si>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</si>
  <si>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</si>
  <si>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</si>
  <si>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</si>
  <si>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</si>
  <si>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</si>
  <si>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</si>
  <si>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</si>
  <si>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</si>
  <si>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</si>
  <si>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</si>
  <si>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</si>
  <si>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</si>
  <si>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</si>
  <si>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</si>
  <si>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</si>
  <si>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</si>
  <si>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</si>
  <si>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</si>
  <si>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</si>
  <si>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</si>
  <si>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</si>
  <si>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</si>
  <si>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</si>
  <si>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</si>
  <si>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</si>
  <si>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</si>
  <si>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</si>
  <si>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</si>
  <si>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</si>
  <si>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311./04</t>
  </si>
  <si>
    <t>ТТК-305</t>
  </si>
  <si>
    <t xml:space="preserve">Какао с молоком </t>
  </si>
  <si>
    <t>516./04</t>
  </si>
  <si>
    <t>Макароны отварные</t>
  </si>
  <si>
    <t>395/10</t>
  </si>
  <si>
    <t>Завтрак</t>
  </si>
  <si>
    <t xml:space="preserve">2 завтрак 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</si>
  <si>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</si>
  <si>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</si>
  <si>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</si>
  <si>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</si>
  <si>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</si>
  <si>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</si>
  <si>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 xml:space="preserve">Зам. директора по производству и качеству                                                              </t>
  </si>
  <si>
    <t>Р.И. Самигулова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</si>
  <si>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</si>
  <si>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</si>
  <si>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</si>
  <si>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337./04</t>
  </si>
  <si>
    <t>Яйцо вареное</t>
  </si>
  <si>
    <t>1 шт</t>
  </si>
  <si>
    <t>100/50</t>
  </si>
  <si>
    <t>11 группа: сады № 28, 30, 34, 40, 50, 50(ф), 51, 52, 54, 93, 103, 110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</si>
  <si>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</si>
  <si>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</si>
  <si>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</si>
  <si>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</si>
  <si>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</si>
  <si>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</si>
  <si>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</si>
  <si>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</si>
  <si>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</si>
  <si>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</si>
  <si>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</si>
  <si>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</si>
  <si>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</si>
  <si>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160./04</t>
  </si>
  <si>
    <t>Каша пшеничная вязкая</t>
  </si>
  <si>
    <t>124/04</t>
  </si>
  <si>
    <t>78./04</t>
  </si>
  <si>
    <t>ТТК-653</t>
  </si>
  <si>
    <t xml:space="preserve">Зразы мясные "Любимые" с сыром 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</si>
  <si>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</si>
  <si>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</si>
  <si>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</si>
  <si>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</si>
  <si>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</si>
  <si>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</si>
  <si>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</si>
  <si>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</si>
  <si>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</si>
  <si>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</si>
  <si>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</si>
  <si>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</si>
  <si>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</si>
  <si>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 xml:space="preserve">Капуста тушеная </t>
  </si>
  <si>
    <t>367./04</t>
  </si>
  <si>
    <t>Галушки из творога отварные с маслом</t>
  </si>
  <si>
    <t>195/5</t>
  </si>
  <si>
    <t>145/5</t>
  </si>
  <si>
    <t>Суп молочный с макаронными изделиями (вермишель)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</si>
  <si>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</si>
  <si>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</si>
  <si>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</si>
  <si>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</si>
  <si>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</si>
  <si>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</si>
  <si>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 xml:space="preserve">Икра морковная </t>
  </si>
  <si>
    <t>534/04</t>
  </si>
  <si>
    <t>50</t>
  </si>
  <si>
    <t>Каша молочная манная (жидкая) с маслом</t>
  </si>
  <si>
    <t>269./04</t>
  </si>
  <si>
    <t>Запеканка овощная с соусом сметанным</t>
  </si>
  <si>
    <t>110./04</t>
  </si>
  <si>
    <t>ТТК-739</t>
  </si>
  <si>
    <t xml:space="preserve">Котлеты "Татарские" </t>
  </si>
  <si>
    <t>ТТК-317</t>
  </si>
  <si>
    <t>ТТК-62</t>
  </si>
  <si>
    <t>Салат из отварной свеклы</t>
  </si>
  <si>
    <t>Салат "Зайка"</t>
  </si>
  <si>
    <t>ТТК-315</t>
  </si>
  <si>
    <t>Батон с маслом с сыром</t>
  </si>
  <si>
    <t>20/5/5</t>
  </si>
  <si>
    <t>131/04</t>
  </si>
  <si>
    <t xml:space="preserve">Рассольник "Домашний" со сметаной </t>
  </si>
  <si>
    <t>200/10</t>
  </si>
  <si>
    <t>150/10</t>
  </si>
  <si>
    <t xml:space="preserve">Борщ из св. капусты с карт.на мясокостном бульоне со сметаной </t>
  </si>
  <si>
    <t>ТТК-734</t>
  </si>
  <si>
    <t>ТТК-147</t>
  </si>
  <si>
    <t>Компот из черной смородины</t>
  </si>
  <si>
    <t xml:space="preserve">Компот "Фруктовый" из чернослива </t>
  </si>
  <si>
    <t>Компот "Фруктовый" из кураги</t>
  </si>
  <si>
    <t>14 группа: сады № 10, 17, 20, 26, 49, 64, 72, 73, 75, 92, 96, 105, 120</t>
  </si>
  <si>
    <t>Фатхуллина Г.А.</t>
  </si>
  <si>
    <t xml:space="preserve">Зам. начальника производственного отдела </t>
  </si>
  <si>
    <t xml:space="preserve">Ю.В. Прокофьева </t>
  </si>
  <si>
    <t>ТТК-341</t>
  </si>
  <si>
    <t>Запеканка "Сладкоежка" с соусом молочным сладким</t>
  </si>
  <si>
    <t>150/50</t>
  </si>
  <si>
    <t>Н.В. Журавлева</t>
  </si>
  <si>
    <t>170</t>
  </si>
  <si>
    <t xml:space="preserve">Винегрет овощной </t>
  </si>
  <si>
    <t>ТТК-65</t>
  </si>
  <si>
    <t>Морковь тертая с сахаром</t>
  </si>
  <si>
    <t>Суп молочный с пшеном</t>
  </si>
  <si>
    <t>302/04</t>
  </si>
  <si>
    <t xml:space="preserve">Каша молочная ячневая (вязкая) с маслом </t>
  </si>
  <si>
    <t xml:space="preserve">Каша пшенная вязкая </t>
  </si>
  <si>
    <t>139/04</t>
  </si>
  <si>
    <t>Десерт фруктовый "Мандарин"</t>
  </si>
  <si>
    <t>216./04</t>
  </si>
  <si>
    <t>Картофель тушеный</t>
  </si>
  <si>
    <t>71/04</t>
  </si>
  <si>
    <t>ТТК-450</t>
  </si>
  <si>
    <t xml:space="preserve">Котлета "Камская" </t>
  </si>
  <si>
    <t>133./04</t>
  </si>
  <si>
    <t xml:space="preserve">Суп картофельный с рыбными консервами </t>
  </si>
  <si>
    <t>ТТК-53</t>
  </si>
  <si>
    <t xml:space="preserve">Мякоть птицы тушеная в соусе </t>
  </si>
  <si>
    <t>40/50</t>
  </si>
  <si>
    <t>Каша рисовая вязкая</t>
  </si>
  <si>
    <t xml:space="preserve">Суп картофельный с горохом </t>
  </si>
  <si>
    <r>
      <t>Щи из свежей капусты с карт. с мясн. фрикад.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со сметаной </t>
    </r>
  </si>
  <si>
    <t>200/25/ 10</t>
  </si>
  <si>
    <t>150/25/ 10</t>
  </si>
  <si>
    <t>Десерт фруктовый "Апельсин"</t>
  </si>
  <si>
    <t>140</t>
  </si>
  <si>
    <t xml:space="preserve">НЕДЕЛЬНОЕ МЕНЮ ДЛЯ ОБЩЕРАЗВИВАЮЩИХ ДЕТСКИХ САДОВ С 22.01.18г по 26.01.18г    </t>
  </si>
  <si>
    <t>ПОНЕДЕЛЬНИК 22/01</t>
  </si>
  <si>
    <t>ВТОРНИК 23/01</t>
  </si>
  <si>
    <t>СРЕДА 24/01</t>
  </si>
  <si>
    <t>ЧЕТВЕРГ 25/01</t>
  </si>
  <si>
    <t>ПЯТНИЦА 26/01</t>
  </si>
  <si>
    <t>43/04</t>
  </si>
  <si>
    <t>Салат из свежей капусты</t>
  </si>
  <si>
    <t>ТТК-380</t>
  </si>
  <si>
    <t xml:space="preserve">Суфле рыбное "Морячок" </t>
  </si>
  <si>
    <t>ТТК-911</t>
  </si>
  <si>
    <t>Напиток "Цитрусовый"</t>
  </si>
  <si>
    <t>160</t>
  </si>
  <si>
    <t>Молоко кипяченое с печеньем "Супер Ю"</t>
  </si>
  <si>
    <t>180/34</t>
  </si>
  <si>
    <t>125</t>
  </si>
  <si>
    <t>180/17</t>
  </si>
  <si>
    <t>144</t>
  </si>
  <si>
    <t xml:space="preserve">Биточки рыбные "Морячка"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</si>
</sst>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26" fillId="0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2" applyNumberFormat="1" applyFont="1" applyBorder="1" applyAlignment="1">
      <alignment horizontal="center" vertical="center"/>
      <protection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3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left"/>
    </xf>
    <xf numFmtId="2" fontId="3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2" fontId="25" fillId="0" borderId="15" xfId="53" applyNumberFormat="1" applyFont="1" applyFill="1" applyBorder="1" applyAlignment="1">
      <alignment horizontal="center" vertical="center"/>
      <protection/>
    </xf>
    <xf numFmtId="2" fontId="25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2" fontId="25" fillId="0" borderId="15" xfId="52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2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/>
    </xf>
    <xf numFmtId="49" fontId="20" fillId="27" borderId="16" xfId="0" applyNumberFormat="1" applyFont="1" applyFill="1" applyBorder="1" applyAlignment="1">
      <alignment horizontal="center"/>
    </xf>
    <xf numFmtId="0" fontId="27" fillId="27" borderId="16" xfId="0" applyFont="1" applyFill="1" applyBorder="1" applyAlignment="1">
      <alignment horizontal="center" vertical="distributed"/>
    </xf>
    <xf numFmtId="49" fontId="20" fillId="27" borderId="10" xfId="0" applyNumberFormat="1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top" wrapText="1"/>
    </xf>
    <xf numFmtId="2" fontId="25" fillId="0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27" borderId="10" xfId="0" applyFont="1" applyFill="1" applyBorder="1" applyAlignment="1">
      <alignment horizontal="center" wrapText="1"/>
    </xf>
    <xf numFmtId="49" fontId="21" fillId="0" borderId="23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5" borderId="10" xfId="52" applyNumberFormat="1" applyFont="1" applyFill="1" applyBorder="1" applyAlignment="1">
      <alignment horizontal="center" vertical="center"/>
      <protection/>
    </xf>
    <xf numFmtId="2" fontId="25" fillId="0" borderId="16" xfId="0" applyNumberFormat="1" applyFont="1" applyBorder="1" applyAlignment="1">
      <alignment horizontal="center" vertical="center"/>
    </xf>
    <xf numFmtId="0" fontId="20" fillId="27" borderId="16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2" fontId="25" fillId="25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170</xdr:row>
      <xdr:rowOff>47625</xdr:rowOff>
    </xdr:from>
    <xdr:to>
      <xdr:col>8</xdr:col>
      <xdr:colOff>219075</xdr:colOff>
      <xdr:row>178</xdr:row>
      <xdr:rowOff>114300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5128200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173</xdr:row>
      <xdr:rowOff>161925</xdr:rowOff>
    </xdr:from>
    <xdr:to>
      <xdr:col>7</xdr:col>
      <xdr:colOff>123825</xdr:colOff>
      <xdr:row>175</xdr:row>
      <xdr:rowOff>133350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rcRect t="45860" b="30572"/>
        <a:stretch>
          <a:fillRect/>
        </a:stretch>
      </xdr:blipFill>
      <xdr:spPr>
        <a:xfrm>
          <a:off x="4143375" y="3581400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6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8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71</v>
      </c>
      <c r="N1" s="8"/>
      <c r="O1" s="70"/>
      <c r="P1" s="4"/>
      <c r="Q1"/>
      <c r="R1" s="8"/>
      <c r="S1" s="8"/>
      <c r="T1" s="8"/>
      <c r="U1" s="8"/>
      <c r="V1" s="5"/>
      <c r="W1" s="2"/>
    </row>
    <row r="2" spans="1:22" s="68" customFormat="1" ht="15" customHeight="1">
      <c r="A2" s="6" t="s">
        <v>68</v>
      </c>
      <c r="B2" s="2"/>
      <c r="C2" s="2"/>
      <c r="D2" s="2"/>
      <c r="E2" s="3"/>
      <c r="F2" s="3"/>
      <c r="G2" s="2"/>
      <c r="H2" s="8"/>
      <c r="I2" s="8"/>
      <c r="J2" s="70"/>
      <c r="K2" s="4"/>
      <c r="L2" s="8"/>
      <c r="M2" s="8" t="s">
        <v>72</v>
      </c>
      <c r="N2" s="8"/>
      <c r="O2" s="70"/>
      <c r="P2" s="8"/>
      <c r="Q2"/>
      <c r="R2" s="8"/>
      <c r="S2" s="8"/>
      <c r="T2" s="8"/>
      <c r="U2" s="4"/>
      <c r="V2" s="8"/>
    </row>
    <row r="3" spans="1:22" s="68" customFormat="1" ht="15" customHeight="1">
      <c r="A3" s="6" t="s">
        <v>75</v>
      </c>
      <c r="B3" s="2"/>
      <c r="C3" s="2"/>
      <c r="D3" s="2"/>
      <c r="E3" s="3"/>
      <c r="F3" s="3"/>
      <c r="G3" s="2"/>
      <c r="H3" s="8"/>
      <c r="I3" s="8"/>
      <c r="J3" s="70"/>
      <c r="K3" s="8"/>
      <c r="L3" s="8"/>
      <c r="M3" s="11" t="s">
        <v>73</v>
      </c>
      <c r="N3" s="8"/>
      <c r="O3" s="70"/>
      <c r="P3" s="4"/>
      <c r="Q3"/>
      <c r="R3" s="11"/>
      <c r="S3" s="8"/>
      <c r="T3" s="8"/>
      <c r="U3" s="8"/>
      <c r="V3" s="8"/>
    </row>
    <row r="4" spans="1:22" s="68" customFormat="1" ht="15" customHeight="1">
      <c r="A4" s="6" t="s">
        <v>139</v>
      </c>
      <c r="B4" s="2"/>
      <c r="C4" s="2"/>
      <c r="D4" s="2"/>
      <c r="E4" s="3"/>
      <c r="F4" s="3"/>
      <c r="G4" s="2"/>
      <c r="H4" s="11"/>
      <c r="I4" s="8"/>
      <c r="J4" s="70"/>
      <c r="K4" s="4"/>
      <c r="L4" s="8"/>
      <c r="M4" s="152"/>
      <c r="N4" s="152"/>
      <c r="O4" s="8"/>
      <c r="P4" s="8"/>
      <c r="Q4"/>
      <c r="R4" s="8"/>
      <c r="S4" s="8" t="s">
        <v>140</v>
      </c>
      <c r="T4" s="8"/>
      <c r="U4" s="4"/>
      <c r="V4" s="8"/>
    </row>
    <row r="5" spans="1:22" s="68" customFormat="1" ht="15" customHeight="1">
      <c r="A5" s="6" t="s">
        <v>76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7"/>
      <c r="N5" s="47"/>
      <c r="O5" s="71"/>
      <c r="P5" s="71"/>
      <c r="Q5" s="71"/>
      <c r="R5" s="71"/>
      <c r="S5" s="71"/>
      <c r="T5" s="71"/>
      <c r="U5" s="8"/>
      <c r="V5" s="8"/>
    </row>
    <row r="6" spans="1:20" s="68" customFormat="1" ht="15" customHeight="1">
      <c r="A6" s="6" t="s">
        <v>77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7"/>
      <c r="N6" s="71"/>
      <c r="O6" s="71"/>
      <c r="P6" s="71"/>
      <c r="Q6" s="71"/>
      <c r="R6" s="71"/>
      <c r="S6" s="71"/>
      <c r="T6" s="71"/>
    </row>
    <row r="7" spans="1:17" s="68" customFormat="1" ht="15" customHeight="1">
      <c r="A7" s="1"/>
      <c r="B7" s="2"/>
      <c r="C7" s="2"/>
      <c r="D7" s="2"/>
      <c r="E7" s="3"/>
      <c r="F7" s="3"/>
      <c r="G7" s="2"/>
      <c r="H7" s="87"/>
      <c r="I7" s="87"/>
      <c r="J7" s="87"/>
      <c r="K7" s="87"/>
      <c r="L7" s="87"/>
      <c r="M7" s="87" t="s">
        <v>0</v>
      </c>
      <c r="N7" s="87"/>
      <c r="Q7" s="87"/>
    </row>
    <row r="8" spans="1:24" s="68" customFormat="1" ht="15" customHeight="1">
      <c r="A8" s="158" t="s">
        <v>174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</row>
    <row r="9" spans="1:14" s="68" customFormat="1" ht="7.5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8" customFormat="1" ht="24.75" customHeight="1">
      <c r="A10" s="159" t="s">
        <v>1</v>
      </c>
      <c r="B10" s="160" t="s">
        <v>2</v>
      </c>
      <c r="C10" s="161" t="s">
        <v>3</v>
      </c>
      <c r="D10" s="161"/>
      <c r="E10" s="162" t="s">
        <v>4</v>
      </c>
      <c r="F10" s="162"/>
      <c r="G10" s="162" t="s">
        <v>5</v>
      </c>
      <c r="H10" s="162"/>
      <c r="I10" s="162"/>
      <c r="J10" s="162"/>
      <c r="K10" s="162"/>
      <c r="L10" s="162"/>
      <c r="M10" s="161" t="s">
        <v>6</v>
      </c>
      <c r="N10" s="161"/>
      <c r="O10" s="159" t="s">
        <v>7</v>
      </c>
      <c r="P10" s="159"/>
      <c r="Q10" s="159"/>
      <c r="R10" s="159"/>
      <c r="S10" s="159"/>
      <c r="T10" s="159"/>
      <c r="U10" s="153" t="s">
        <v>8</v>
      </c>
      <c r="V10" s="153"/>
      <c r="W10" s="153"/>
      <c r="X10" s="154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ht="15" customHeight="1">
      <c r="A11" s="159"/>
      <c r="B11" s="160"/>
      <c r="C11" s="161"/>
      <c r="D11" s="161"/>
      <c r="E11" s="162"/>
      <c r="F11" s="162"/>
      <c r="G11" s="155" t="s">
        <v>9</v>
      </c>
      <c r="H11" s="155"/>
      <c r="I11" s="155" t="s">
        <v>10</v>
      </c>
      <c r="J11" s="155"/>
      <c r="K11" s="155" t="s">
        <v>11</v>
      </c>
      <c r="L11" s="155"/>
      <c r="M11" s="161"/>
      <c r="N11" s="161"/>
      <c r="O11" s="156" t="s">
        <v>70</v>
      </c>
      <c r="P11" s="156"/>
      <c r="Q11" s="156" t="s">
        <v>56</v>
      </c>
      <c r="R11" s="156"/>
      <c r="S11" s="156" t="s">
        <v>12</v>
      </c>
      <c r="T11" s="156"/>
      <c r="U11" s="156" t="s">
        <v>13</v>
      </c>
      <c r="V11" s="156"/>
      <c r="W11" s="156" t="s">
        <v>14</v>
      </c>
      <c r="X11" s="157"/>
      <c r="Y11" s="67"/>
      <c r="Z11" s="98"/>
      <c r="AA11" s="98"/>
      <c r="AB11" s="98"/>
      <c r="AC11" s="67"/>
      <c r="AD11" s="67"/>
      <c r="AE11" s="67"/>
      <c r="AF11" s="67"/>
    </row>
    <row r="12" spans="1:32" s="68" customFormat="1" ht="15" customHeight="1">
      <c r="A12" s="12" t="s">
        <v>1</v>
      </c>
      <c r="B12" s="88" t="s">
        <v>175</v>
      </c>
      <c r="C12" s="40" t="s">
        <v>15</v>
      </c>
      <c r="D12" s="40" t="s">
        <v>16</v>
      </c>
      <c r="E12" s="40" t="s">
        <v>15</v>
      </c>
      <c r="F12" s="40" t="s">
        <v>16</v>
      </c>
      <c r="G12" s="40" t="s">
        <v>15</v>
      </c>
      <c r="H12" s="40" t="s">
        <v>16</v>
      </c>
      <c r="I12" s="40" t="s">
        <v>15</v>
      </c>
      <c r="J12" s="40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40" t="s">
        <v>16</v>
      </c>
      <c r="Q12" s="40" t="s">
        <v>15</v>
      </c>
      <c r="R12" s="40" t="s">
        <v>16</v>
      </c>
      <c r="S12" s="40" t="s">
        <v>15</v>
      </c>
      <c r="T12" s="40" t="s">
        <v>16</v>
      </c>
      <c r="U12" s="40" t="s">
        <v>15</v>
      </c>
      <c r="V12" s="40" t="s">
        <v>16</v>
      </c>
      <c r="W12" s="40" t="s">
        <v>15</v>
      </c>
      <c r="X12" s="89" t="s">
        <v>16</v>
      </c>
      <c r="Y12" s="67"/>
      <c r="Z12" s="98"/>
      <c r="AA12" s="98"/>
      <c r="AB12" s="98"/>
      <c r="AC12" s="67"/>
      <c r="AD12" s="67"/>
      <c r="AE12" s="67"/>
      <c r="AF12" s="67"/>
    </row>
    <row r="13" spans="1:32" ht="15" customHeight="1">
      <c r="A13" s="12"/>
      <c r="B13" s="90" t="s">
        <v>17</v>
      </c>
      <c r="C13" s="91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76"/>
      <c r="Y13" s="22"/>
      <c r="Z13" s="37"/>
      <c r="AA13" s="37"/>
      <c r="AB13" s="37"/>
      <c r="AC13" s="22"/>
      <c r="AD13" s="22"/>
      <c r="AE13" s="22"/>
      <c r="AF13" s="22"/>
    </row>
    <row r="14" spans="1:30" s="32" customFormat="1" ht="14.25" customHeight="1">
      <c r="A14" s="131" t="s">
        <v>69</v>
      </c>
      <c r="B14" s="59" t="s">
        <v>127</v>
      </c>
      <c r="C14" s="60" t="s">
        <v>128</v>
      </c>
      <c r="D14" s="60" t="s">
        <v>128</v>
      </c>
      <c r="E14" s="61">
        <v>6.88</v>
      </c>
      <c r="F14" s="61">
        <v>6.88</v>
      </c>
      <c r="G14" s="61">
        <v>2.93</v>
      </c>
      <c r="H14" s="62">
        <v>2.93</v>
      </c>
      <c r="I14" s="61">
        <v>6.05</v>
      </c>
      <c r="J14" s="62">
        <v>6.05</v>
      </c>
      <c r="K14" s="61">
        <v>10.4</v>
      </c>
      <c r="L14" s="62">
        <v>10.4</v>
      </c>
      <c r="M14" s="61">
        <v>107.77</v>
      </c>
      <c r="N14" s="62">
        <v>107.77</v>
      </c>
      <c r="O14" s="62">
        <v>0.08</v>
      </c>
      <c r="P14" s="62">
        <f>O14*40/60</f>
        <v>0.05333333333333334</v>
      </c>
      <c r="Q14" s="62">
        <v>0.06</v>
      </c>
      <c r="R14" s="62">
        <f>Q14*40/60</f>
        <v>0.04</v>
      </c>
      <c r="S14" s="61">
        <v>0.14</v>
      </c>
      <c r="T14" s="62">
        <v>0.14</v>
      </c>
      <c r="U14" s="62">
        <v>70.8</v>
      </c>
      <c r="V14" s="62">
        <f>U14*40/60</f>
        <v>47.2</v>
      </c>
      <c r="W14" s="62">
        <v>0.81</v>
      </c>
      <c r="X14" s="84">
        <f>W14*40/60</f>
        <v>0.5400000000000001</v>
      </c>
      <c r="Y14" s="82"/>
      <c r="Z14" s="37"/>
      <c r="AA14" s="37"/>
      <c r="AB14" s="37"/>
      <c r="AC14" s="37"/>
      <c r="AD14" s="37"/>
    </row>
    <row r="15" spans="1:29" ht="15" customHeight="1">
      <c r="A15" s="131" t="s">
        <v>18</v>
      </c>
      <c r="B15" s="59" t="s">
        <v>83</v>
      </c>
      <c r="C15" s="60" t="s">
        <v>21</v>
      </c>
      <c r="D15" s="60" t="s">
        <v>22</v>
      </c>
      <c r="E15" s="61">
        <v>4.4</v>
      </c>
      <c r="F15" s="61">
        <v>3.3</v>
      </c>
      <c r="G15" s="61">
        <v>5.26</v>
      </c>
      <c r="H15" s="61">
        <v>3.95</v>
      </c>
      <c r="I15" s="61">
        <v>5.26</v>
      </c>
      <c r="J15" s="62">
        <v>3.95</v>
      </c>
      <c r="K15" s="61">
        <v>32.32</v>
      </c>
      <c r="L15" s="62">
        <v>24.24</v>
      </c>
      <c r="M15" s="61">
        <v>197.6</v>
      </c>
      <c r="N15" s="62">
        <v>148.3</v>
      </c>
      <c r="O15" s="61">
        <f>P15*200/150</f>
        <v>0.12</v>
      </c>
      <c r="P15" s="63">
        <v>0.09</v>
      </c>
      <c r="Q15" s="61">
        <f>R15*200/150</f>
        <v>0.04</v>
      </c>
      <c r="R15" s="63">
        <v>0.03</v>
      </c>
      <c r="S15" s="63">
        <v>0</v>
      </c>
      <c r="T15" s="63">
        <v>0</v>
      </c>
      <c r="U15" s="61">
        <f>V15*200/150</f>
        <v>1.5466666666666664</v>
      </c>
      <c r="V15" s="63">
        <v>1.16</v>
      </c>
      <c r="W15" s="61">
        <f>X15*200/150</f>
        <v>0.72</v>
      </c>
      <c r="X15" s="106">
        <v>0.54</v>
      </c>
      <c r="Y15" s="83"/>
      <c r="Z15" s="22"/>
      <c r="AA15" s="22"/>
      <c r="AB15" s="22"/>
      <c r="AC15" s="22"/>
    </row>
    <row r="16" spans="1:31" ht="15" customHeight="1">
      <c r="A16" s="131" t="s">
        <v>19</v>
      </c>
      <c r="B16" s="59" t="s">
        <v>20</v>
      </c>
      <c r="C16" s="60" t="s">
        <v>21</v>
      </c>
      <c r="D16" s="60" t="s">
        <v>22</v>
      </c>
      <c r="E16" s="61">
        <v>1.56</v>
      </c>
      <c r="F16" s="61">
        <v>1.17</v>
      </c>
      <c r="G16" s="63">
        <v>0</v>
      </c>
      <c r="H16" s="69">
        <v>0</v>
      </c>
      <c r="I16" s="63">
        <v>0</v>
      </c>
      <c r="J16" s="69">
        <f>I16*150/200</f>
        <v>0</v>
      </c>
      <c r="K16" s="63">
        <v>30.6</v>
      </c>
      <c r="L16" s="69">
        <f>K16*150/200</f>
        <v>22.95</v>
      </c>
      <c r="M16" s="63">
        <v>118</v>
      </c>
      <c r="N16" s="69">
        <v>88.5</v>
      </c>
      <c r="O16" s="65">
        <v>0</v>
      </c>
      <c r="P16" s="69">
        <f>O16*150/200</f>
        <v>0</v>
      </c>
      <c r="Q16" s="65">
        <v>0</v>
      </c>
      <c r="R16" s="69">
        <f>Q16*150/200</f>
        <v>0</v>
      </c>
      <c r="S16" s="65">
        <v>0</v>
      </c>
      <c r="T16" s="69">
        <f>S16*150/200</f>
        <v>0</v>
      </c>
      <c r="U16" s="65">
        <v>0.2</v>
      </c>
      <c r="V16" s="69">
        <f>U16*150/200</f>
        <v>0.15</v>
      </c>
      <c r="W16" s="65">
        <v>0.03</v>
      </c>
      <c r="X16" s="69">
        <f>W16*150/200</f>
        <v>0.0225</v>
      </c>
      <c r="Y16" s="22"/>
      <c r="Z16" s="22"/>
      <c r="AA16" s="22"/>
      <c r="AB16" s="22"/>
      <c r="AC16" s="22"/>
      <c r="AD16" s="22"/>
      <c r="AE16" s="22"/>
    </row>
    <row r="17" spans="1:32" ht="15" customHeight="1">
      <c r="A17" s="16"/>
      <c r="B17" s="17" t="s">
        <v>23</v>
      </c>
      <c r="C17" s="18"/>
      <c r="D17" s="18"/>
      <c r="E17" s="28">
        <f>SUM(E14:E16)</f>
        <v>12.840000000000002</v>
      </c>
      <c r="F17" s="28">
        <f>SUM(F14:F16)</f>
        <v>11.35</v>
      </c>
      <c r="G17" s="28">
        <f aca="true" t="shared" si="0" ref="G17:T17">SUM(G14:G16)</f>
        <v>8.19</v>
      </c>
      <c r="H17" s="28">
        <f t="shared" si="0"/>
        <v>6.880000000000001</v>
      </c>
      <c r="I17" s="28">
        <f t="shared" si="0"/>
        <v>11.309999999999999</v>
      </c>
      <c r="J17" s="28">
        <f t="shared" si="0"/>
        <v>10</v>
      </c>
      <c r="K17" s="28">
        <f t="shared" si="0"/>
        <v>73.32</v>
      </c>
      <c r="L17" s="28">
        <f t="shared" si="0"/>
        <v>57.59</v>
      </c>
      <c r="M17" s="28">
        <f t="shared" si="0"/>
        <v>423.37</v>
      </c>
      <c r="N17" s="28">
        <f t="shared" si="0"/>
        <v>344.57</v>
      </c>
      <c r="O17" s="28">
        <f t="shared" si="0"/>
        <v>0.2</v>
      </c>
      <c r="P17" s="28">
        <f t="shared" si="0"/>
        <v>0.14333333333333334</v>
      </c>
      <c r="Q17" s="28">
        <f t="shared" si="0"/>
        <v>0.1</v>
      </c>
      <c r="R17" s="28">
        <f t="shared" si="0"/>
        <v>0.07</v>
      </c>
      <c r="S17" s="28">
        <f t="shared" si="0"/>
        <v>0.14</v>
      </c>
      <c r="T17" s="28">
        <f t="shared" si="0"/>
        <v>0.14</v>
      </c>
      <c r="U17" s="28">
        <f>SUM(U14:U16)</f>
        <v>72.54666666666667</v>
      </c>
      <c r="V17" s="28">
        <f>SUM(V14:V16)</f>
        <v>48.51</v>
      </c>
      <c r="W17" s="28">
        <f>SUM(W14:W16)</f>
        <v>1.56</v>
      </c>
      <c r="X17" s="78">
        <f>SUM(X14:X16)</f>
        <v>1.1025</v>
      </c>
      <c r="Y17" s="75"/>
      <c r="Z17" s="75"/>
      <c r="AA17" s="75"/>
      <c r="AB17" s="75"/>
      <c r="AC17" s="75"/>
      <c r="AD17" s="75"/>
      <c r="AE17" s="75"/>
      <c r="AF17" s="22"/>
    </row>
    <row r="18" spans="1:32" ht="15" customHeight="1">
      <c r="A18" s="16"/>
      <c r="B18" s="90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79"/>
      <c r="Y18" s="22"/>
      <c r="Z18" s="37"/>
      <c r="AA18" s="37"/>
      <c r="AB18" s="37"/>
      <c r="AC18" s="22"/>
      <c r="AD18" s="22"/>
      <c r="AE18" s="22"/>
      <c r="AF18" s="22"/>
    </row>
    <row r="19" spans="1:31" s="32" customFormat="1" ht="15" customHeight="1">
      <c r="A19" s="132" t="s">
        <v>25</v>
      </c>
      <c r="B19" s="17" t="s">
        <v>63</v>
      </c>
      <c r="C19" s="18" t="s">
        <v>147</v>
      </c>
      <c r="D19" s="18" t="s">
        <v>147</v>
      </c>
      <c r="E19" s="19">
        <v>4.59</v>
      </c>
      <c r="F19" s="19">
        <v>4.59</v>
      </c>
      <c r="G19" s="25">
        <v>0</v>
      </c>
      <c r="H19" s="26">
        <v>0</v>
      </c>
      <c r="I19" s="25">
        <f>J19*180/150</f>
        <v>0</v>
      </c>
      <c r="J19" s="26">
        <v>0</v>
      </c>
      <c r="K19" s="25">
        <v>10.2</v>
      </c>
      <c r="L19" s="26">
        <v>10.2</v>
      </c>
      <c r="M19" s="25">
        <v>40.8</v>
      </c>
      <c r="N19" s="26">
        <v>40.8</v>
      </c>
      <c r="O19" s="25">
        <f>P19*180/150</f>
        <v>0</v>
      </c>
      <c r="P19" s="26">
        <v>0</v>
      </c>
      <c r="Q19" s="25">
        <f>R19*180/150</f>
        <v>0.024</v>
      </c>
      <c r="R19" s="26">
        <v>0.02</v>
      </c>
      <c r="S19" s="25">
        <v>3.4</v>
      </c>
      <c r="T19" s="26">
        <v>3.4</v>
      </c>
      <c r="U19" s="25">
        <f>V19*180/150</f>
        <v>9.996</v>
      </c>
      <c r="V19" s="26">
        <v>8.33</v>
      </c>
      <c r="W19" s="25">
        <f>X19*180/150</f>
        <v>0.252</v>
      </c>
      <c r="X19" s="81">
        <v>0.21</v>
      </c>
      <c r="Y19" s="37"/>
      <c r="Z19" s="37"/>
      <c r="AA19" s="37"/>
      <c r="AB19" s="37"/>
      <c r="AC19" s="37"/>
      <c r="AD19" s="37"/>
      <c r="AE19" s="37"/>
    </row>
    <row r="20" spans="1:32" ht="15" customHeight="1">
      <c r="A20" s="16"/>
      <c r="B20" s="17" t="s">
        <v>23</v>
      </c>
      <c r="C20" s="18"/>
      <c r="D20" s="18"/>
      <c r="E20" s="28">
        <f>SUM(E19)</f>
        <v>4.59</v>
      </c>
      <c r="F20" s="28">
        <f>SUM(F19)</f>
        <v>4.59</v>
      </c>
      <c r="G20" s="28">
        <f aca="true" t="shared" si="1" ref="G20:T20">SUM(G19)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10.2</v>
      </c>
      <c r="L20" s="28">
        <f t="shared" si="1"/>
        <v>10.2</v>
      </c>
      <c r="M20" s="28">
        <f t="shared" si="1"/>
        <v>40.8</v>
      </c>
      <c r="N20" s="28">
        <f t="shared" si="1"/>
        <v>40.8</v>
      </c>
      <c r="O20" s="28">
        <f t="shared" si="1"/>
        <v>0</v>
      </c>
      <c r="P20" s="28">
        <f t="shared" si="1"/>
        <v>0</v>
      </c>
      <c r="Q20" s="28">
        <f t="shared" si="1"/>
        <v>0.024</v>
      </c>
      <c r="R20" s="28">
        <f t="shared" si="1"/>
        <v>0.02</v>
      </c>
      <c r="S20" s="28">
        <f t="shared" si="1"/>
        <v>3.4</v>
      </c>
      <c r="T20" s="28">
        <f t="shared" si="1"/>
        <v>3.4</v>
      </c>
      <c r="U20" s="28">
        <f aca="true" t="shared" si="2" ref="U20:AB20">SUM(U19)</f>
        <v>9.996</v>
      </c>
      <c r="V20" s="28">
        <f t="shared" si="2"/>
        <v>8.33</v>
      </c>
      <c r="W20" s="28">
        <f t="shared" si="2"/>
        <v>0.252</v>
      </c>
      <c r="X20" s="28">
        <f t="shared" si="2"/>
        <v>0.21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75"/>
      <c r="AD20" s="22"/>
      <c r="AE20" s="22"/>
      <c r="AF20" s="22"/>
    </row>
    <row r="21" spans="1:32" ht="15" customHeight="1">
      <c r="A21" s="16"/>
      <c r="B21" s="90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9"/>
      <c r="P21" s="29"/>
      <c r="Q21" s="29"/>
      <c r="R21" s="29"/>
      <c r="S21" s="29"/>
      <c r="T21" s="29"/>
      <c r="U21" s="29"/>
      <c r="V21" s="29"/>
      <c r="W21" s="29"/>
      <c r="X21" s="79"/>
      <c r="Y21" s="22"/>
      <c r="Z21" s="37"/>
      <c r="AA21" s="37"/>
      <c r="AB21" s="37"/>
      <c r="AC21" s="22"/>
      <c r="AD21" s="22"/>
      <c r="AE21" s="22"/>
      <c r="AF21" s="22"/>
    </row>
    <row r="22" spans="1:24" ht="15.75" customHeight="1">
      <c r="A22" s="131" t="s">
        <v>159</v>
      </c>
      <c r="B22" s="59" t="s">
        <v>148</v>
      </c>
      <c r="C22" s="60" t="s">
        <v>29</v>
      </c>
      <c r="D22" s="60" t="s">
        <v>115</v>
      </c>
      <c r="E22" s="61">
        <v>3.77</v>
      </c>
      <c r="F22" s="61">
        <v>2.51</v>
      </c>
      <c r="G22" s="61">
        <f>H22*75/50</f>
        <v>1.05</v>
      </c>
      <c r="H22" s="62">
        <v>0.7</v>
      </c>
      <c r="I22" s="61">
        <f>J22*75/50</f>
        <v>7.575</v>
      </c>
      <c r="J22" s="62">
        <v>5.05</v>
      </c>
      <c r="K22" s="61">
        <f>L22*75/50</f>
        <v>5.1</v>
      </c>
      <c r="L22" s="62">
        <v>3.4</v>
      </c>
      <c r="M22" s="61">
        <f>N22*75/50</f>
        <v>92.505</v>
      </c>
      <c r="N22" s="62">
        <v>61.67</v>
      </c>
      <c r="O22" s="63">
        <v>0.04</v>
      </c>
      <c r="P22" s="69">
        <v>0.03</v>
      </c>
      <c r="Q22" s="63">
        <v>0.02</v>
      </c>
      <c r="R22" s="69">
        <v>0.02</v>
      </c>
      <c r="S22" s="61">
        <f>T22*75/50</f>
        <v>12.15</v>
      </c>
      <c r="T22" s="62">
        <v>8.1</v>
      </c>
      <c r="U22" s="63">
        <v>13.18</v>
      </c>
      <c r="V22" s="69">
        <v>9.89</v>
      </c>
      <c r="W22" s="63">
        <v>0.62</v>
      </c>
      <c r="X22" s="69">
        <v>0.47</v>
      </c>
    </row>
    <row r="23" spans="1:31" s="31" customFormat="1" ht="23.25" customHeight="1">
      <c r="A23" s="131" t="s">
        <v>155</v>
      </c>
      <c r="B23" s="64" t="s">
        <v>168</v>
      </c>
      <c r="C23" s="60" t="s">
        <v>21</v>
      </c>
      <c r="D23" s="60" t="s">
        <v>22</v>
      </c>
      <c r="E23" s="61">
        <v>3.6</v>
      </c>
      <c r="F23" s="61">
        <v>2.7</v>
      </c>
      <c r="G23" s="63">
        <v>4.96</v>
      </c>
      <c r="H23" s="63">
        <v>3.72</v>
      </c>
      <c r="I23" s="63">
        <v>4.48</v>
      </c>
      <c r="J23" s="63">
        <v>3.36</v>
      </c>
      <c r="K23" s="63">
        <v>17.84</v>
      </c>
      <c r="L23" s="63">
        <v>13.38</v>
      </c>
      <c r="M23" s="63">
        <v>131.52</v>
      </c>
      <c r="N23" s="63">
        <v>98.64</v>
      </c>
      <c r="O23" s="62">
        <v>0.12</v>
      </c>
      <c r="P23" s="62">
        <v>0.11</v>
      </c>
      <c r="Q23" s="62">
        <v>0.1</v>
      </c>
      <c r="R23" s="62">
        <v>0.11</v>
      </c>
      <c r="S23" s="62">
        <v>4.6</v>
      </c>
      <c r="T23" s="63">
        <v>3.45</v>
      </c>
      <c r="U23" s="29">
        <v>42.44</v>
      </c>
      <c r="V23" s="29">
        <v>30.79</v>
      </c>
      <c r="W23" s="29">
        <v>1.67</v>
      </c>
      <c r="X23" s="79">
        <v>1.45</v>
      </c>
      <c r="Y23" s="30"/>
      <c r="Z23" s="30"/>
      <c r="AA23" s="30"/>
      <c r="AB23" s="30"/>
      <c r="AC23" s="30"/>
      <c r="AD23" s="30"/>
      <c r="AE23" s="30"/>
    </row>
    <row r="24" spans="1:29" s="31" customFormat="1" ht="15" customHeight="1">
      <c r="A24" s="132" t="s">
        <v>160</v>
      </c>
      <c r="B24" s="17" t="s">
        <v>161</v>
      </c>
      <c r="C24" s="18" t="s">
        <v>29</v>
      </c>
      <c r="D24" s="18" t="s">
        <v>29</v>
      </c>
      <c r="E24" s="19">
        <v>17.93</v>
      </c>
      <c r="F24" s="19">
        <v>17.93</v>
      </c>
      <c r="G24" s="19">
        <v>10</v>
      </c>
      <c r="H24" s="19">
        <v>10</v>
      </c>
      <c r="I24" s="20">
        <v>3</v>
      </c>
      <c r="J24" s="20">
        <v>3</v>
      </c>
      <c r="K24" s="20">
        <v>6</v>
      </c>
      <c r="L24" s="20">
        <v>6</v>
      </c>
      <c r="M24" s="20">
        <v>90</v>
      </c>
      <c r="N24" s="20">
        <v>90</v>
      </c>
      <c r="O24" s="20">
        <v>0.07</v>
      </c>
      <c r="P24" s="20">
        <v>0.07</v>
      </c>
      <c r="Q24" s="20">
        <v>0.09</v>
      </c>
      <c r="R24" s="20">
        <v>0.09</v>
      </c>
      <c r="S24" s="20">
        <v>0.35</v>
      </c>
      <c r="T24" s="20">
        <v>0.35</v>
      </c>
      <c r="U24" s="29">
        <v>5.85</v>
      </c>
      <c r="V24" s="29">
        <v>5.85</v>
      </c>
      <c r="W24" s="29">
        <v>0.85</v>
      </c>
      <c r="X24" s="29">
        <v>0.85</v>
      </c>
      <c r="Z24" s="30"/>
      <c r="AA24" s="30"/>
      <c r="AB24" s="30"/>
      <c r="AC24" s="30"/>
    </row>
    <row r="25" spans="1:29" ht="15.75" customHeight="1">
      <c r="A25" s="131" t="s">
        <v>18</v>
      </c>
      <c r="B25" s="64" t="s">
        <v>167</v>
      </c>
      <c r="C25" s="60" t="s">
        <v>61</v>
      </c>
      <c r="D25" s="60" t="s">
        <v>89</v>
      </c>
      <c r="E25" s="61">
        <v>3.58</v>
      </c>
      <c r="F25" s="61">
        <v>2.76</v>
      </c>
      <c r="G25" s="61">
        <v>1.95</v>
      </c>
      <c r="H25" s="61">
        <f>G25*100/130</f>
        <v>1.5</v>
      </c>
      <c r="I25" s="61">
        <v>5.07</v>
      </c>
      <c r="J25" s="61">
        <f>I25*100/130</f>
        <v>3.9</v>
      </c>
      <c r="K25" s="61">
        <v>19.89</v>
      </c>
      <c r="L25" s="61">
        <f>K25*100/130</f>
        <v>15.3</v>
      </c>
      <c r="M25" s="61">
        <v>132.99</v>
      </c>
      <c r="N25" s="61">
        <f>M25*100/130</f>
        <v>102.3</v>
      </c>
      <c r="O25" s="61">
        <f>P25*1.3</f>
        <v>0.24700000000000003</v>
      </c>
      <c r="P25" s="62">
        <v>0.19</v>
      </c>
      <c r="Q25" s="61">
        <f>R25*1.3</f>
        <v>0.052000000000000005</v>
      </c>
      <c r="R25" s="62">
        <v>0.04</v>
      </c>
      <c r="S25" s="61">
        <f>T25*150/100</f>
        <v>0</v>
      </c>
      <c r="T25" s="62">
        <v>0</v>
      </c>
      <c r="U25" s="61">
        <f>V25*1.3</f>
        <v>31.628999999999998</v>
      </c>
      <c r="V25" s="62">
        <v>24.33</v>
      </c>
      <c r="W25" s="61">
        <f>X25*1.3</f>
        <v>1.222</v>
      </c>
      <c r="X25" s="62">
        <v>0.94</v>
      </c>
      <c r="Z25" s="37"/>
      <c r="AA25" s="37"/>
      <c r="AB25" s="37"/>
      <c r="AC25" s="22"/>
    </row>
    <row r="26" spans="1:31" ht="27" customHeight="1">
      <c r="A26" s="134" t="s">
        <v>122</v>
      </c>
      <c r="B26" s="38" t="s">
        <v>112</v>
      </c>
      <c r="C26" s="24">
        <v>200</v>
      </c>
      <c r="D26" s="24">
        <v>150</v>
      </c>
      <c r="E26" s="19">
        <v>1.56</v>
      </c>
      <c r="F26" s="19">
        <v>1.17</v>
      </c>
      <c r="G26" s="19">
        <v>0.6</v>
      </c>
      <c r="H26" s="20">
        <f>G26*150/200</f>
        <v>0.45</v>
      </c>
      <c r="I26" s="19">
        <v>0</v>
      </c>
      <c r="J26" s="20">
        <f>I26*150/200</f>
        <v>0</v>
      </c>
      <c r="K26" s="19">
        <v>31.4</v>
      </c>
      <c r="L26" s="20">
        <f>K26*150/200</f>
        <v>23.55</v>
      </c>
      <c r="M26" s="19">
        <v>124</v>
      </c>
      <c r="N26" s="20">
        <f>M26*150/200</f>
        <v>93</v>
      </c>
      <c r="O26" s="20">
        <v>0.02</v>
      </c>
      <c r="P26" s="20">
        <f>O26*150/200</f>
        <v>0.015</v>
      </c>
      <c r="Q26" s="20">
        <v>0.03</v>
      </c>
      <c r="R26" s="20">
        <f>Q26*150/200</f>
        <v>0.0225</v>
      </c>
      <c r="S26" s="20">
        <v>0.45</v>
      </c>
      <c r="T26" s="20">
        <f>S26*150/200</f>
        <v>0.3375</v>
      </c>
      <c r="U26" s="20">
        <v>12.3</v>
      </c>
      <c r="V26" s="20">
        <f>U26*150/200</f>
        <v>9.225</v>
      </c>
      <c r="W26" s="39">
        <v>2</v>
      </c>
      <c r="X26" s="77">
        <f>W26*150/200</f>
        <v>1.5</v>
      </c>
      <c r="Y26" s="22"/>
      <c r="Z26" s="22"/>
      <c r="AA26" s="22"/>
      <c r="AB26" s="22"/>
      <c r="AC26" s="22"/>
      <c r="AD26" s="22"/>
      <c r="AE26" s="22"/>
    </row>
    <row r="27" spans="1:31" s="68" customFormat="1" ht="15" customHeight="1">
      <c r="A27" s="131"/>
      <c r="B27" s="59" t="s">
        <v>30</v>
      </c>
      <c r="C27" s="60" t="s">
        <v>31</v>
      </c>
      <c r="D27" s="60" t="s">
        <v>31</v>
      </c>
      <c r="E27" s="61">
        <v>1.11</v>
      </c>
      <c r="F27" s="61">
        <v>1.11</v>
      </c>
      <c r="G27" s="61">
        <v>1.6</v>
      </c>
      <c r="H27" s="61">
        <v>1.6</v>
      </c>
      <c r="I27" s="61">
        <v>0.4</v>
      </c>
      <c r="J27" s="61">
        <v>0.4</v>
      </c>
      <c r="K27" s="61">
        <v>10</v>
      </c>
      <c r="L27" s="61">
        <v>10</v>
      </c>
      <c r="M27" s="62">
        <v>54</v>
      </c>
      <c r="N27" s="62">
        <v>54</v>
      </c>
      <c r="O27" s="65">
        <v>0.04</v>
      </c>
      <c r="P27" s="66">
        <v>0.04</v>
      </c>
      <c r="Q27" s="65">
        <v>0.02</v>
      </c>
      <c r="R27" s="66">
        <v>0.02</v>
      </c>
      <c r="S27" s="65">
        <v>0</v>
      </c>
      <c r="T27" s="66">
        <v>0</v>
      </c>
      <c r="U27" s="65">
        <v>7.4</v>
      </c>
      <c r="V27" s="66">
        <v>7.4</v>
      </c>
      <c r="W27" s="65">
        <v>0.56</v>
      </c>
      <c r="X27" s="66">
        <v>0.56</v>
      </c>
      <c r="Y27" s="67"/>
      <c r="Z27" s="67"/>
      <c r="AA27" s="67"/>
      <c r="AB27" s="67"/>
      <c r="AC27" s="67"/>
      <c r="AD27" s="67"/>
      <c r="AE27" s="67"/>
    </row>
    <row r="28" spans="1:31" ht="15" customHeight="1">
      <c r="A28" s="131"/>
      <c r="B28" s="59" t="s">
        <v>32</v>
      </c>
      <c r="C28" s="60" t="s">
        <v>80</v>
      </c>
      <c r="D28" s="60" t="s">
        <v>81</v>
      </c>
      <c r="E28" s="61">
        <v>2.09</v>
      </c>
      <c r="F28" s="61">
        <v>1.83</v>
      </c>
      <c r="G28" s="61">
        <v>3.25</v>
      </c>
      <c r="H28" s="62">
        <v>2.84</v>
      </c>
      <c r="I28" s="62">
        <v>0.46</v>
      </c>
      <c r="J28" s="62">
        <f>I28*40.6/46</f>
        <v>0.406</v>
      </c>
      <c r="K28" s="62">
        <v>20.88</v>
      </c>
      <c r="L28" s="62">
        <v>18.27</v>
      </c>
      <c r="M28" s="62">
        <v>102.08</v>
      </c>
      <c r="N28" s="62">
        <v>89.32</v>
      </c>
      <c r="O28" s="63">
        <v>0.06</v>
      </c>
      <c r="P28" s="69">
        <v>0.04</v>
      </c>
      <c r="Q28" s="63">
        <v>0.04</v>
      </c>
      <c r="R28" s="69">
        <v>0.03</v>
      </c>
      <c r="S28" s="63">
        <v>0</v>
      </c>
      <c r="T28" s="62">
        <f>S28*40.6/46</f>
        <v>0</v>
      </c>
      <c r="U28" s="65">
        <v>17</v>
      </c>
      <c r="V28" s="66">
        <v>13.6</v>
      </c>
      <c r="W28" s="65">
        <v>1.15</v>
      </c>
      <c r="X28" s="66">
        <v>0.92</v>
      </c>
      <c r="Y28" s="22"/>
      <c r="Z28" s="22"/>
      <c r="AA28" s="22"/>
      <c r="AB28" s="22"/>
      <c r="AC28" s="22"/>
      <c r="AD28" s="22"/>
      <c r="AE28" s="22"/>
    </row>
    <row r="29" spans="1:32" ht="15" customHeight="1">
      <c r="A29" s="16"/>
      <c r="B29" s="17" t="s">
        <v>23</v>
      </c>
      <c r="C29" s="18"/>
      <c r="D29" s="18"/>
      <c r="E29" s="28">
        <f>SUM(E22:E28)</f>
        <v>33.64</v>
      </c>
      <c r="F29" s="28">
        <f>SUM(F22:F28)</f>
        <v>30.009999999999998</v>
      </c>
      <c r="G29" s="28">
        <f>SUM(G22:G28)-2.5</f>
        <v>20.91</v>
      </c>
      <c r="H29" s="28">
        <f>SUM(H22:H28)-2.5</f>
        <v>18.310000000000002</v>
      </c>
      <c r="I29" s="28">
        <f aca="true" t="shared" si="3" ref="I29:T29">SUM(I22:I28)</f>
        <v>20.985</v>
      </c>
      <c r="J29" s="28">
        <f t="shared" si="3"/>
        <v>16.116</v>
      </c>
      <c r="K29" s="28">
        <f>SUM(K22:K28)+6</f>
        <v>117.10999999999999</v>
      </c>
      <c r="L29" s="28">
        <f>SUM(L22:L28)+0</f>
        <v>89.89999999999999</v>
      </c>
      <c r="M29" s="28">
        <f>SUM(M22:M28)-0</f>
        <v>727.095</v>
      </c>
      <c r="N29" s="28">
        <f>SUM(N22:N28)-51</f>
        <v>537.9300000000001</v>
      </c>
      <c r="O29" s="28">
        <f t="shared" si="3"/>
        <v>0.597</v>
      </c>
      <c r="P29" s="28">
        <f t="shared" si="3"/>
        <v>0.495</v>
      </c>
      <c r="Q29" s="28">
        <f t="shared" si="3"/>
        <v>0.35200000000000004</v>
      </c>
      <c r="R29" s="28">
        <f t="shared" si="3"/>
        <v>0.3325</v>
      </c>
      <c r="S29" s="28">
        <f t="shared" si="3"/>
        <v>17.55</v>
      </c>
      <c r="T29" s="28">
        <f t="shared" si="3"/>
        <v>12.2375</v>
      </c>
      <c r="U29" s="28">
        <f aca="true" t="shared" si="4" ref="U29:AB29">SUM(U22:U28)</f>
        <v>129.79899999999998</v>
      </c>
      <c r="V29" s="28">
        <f t="shared" si="4"/>
        <v>101.085</v>
      </c>
      <c r="W29" s="28">
        <f t="shared" si="4"/>
        <v>8.072000000000001</v>
      </c>
      <c r="X29" s="28">
        <f t="shared" si="4"/>
        <v>6.6899999999999995</v>
      </c>
      <c r="Y29" s="28">
        <f t="shared" si="4"/>
        <v>0</v>
      </c>
      <c r="Z29" s="28">
        <f t="shared" si="4"/>
        <v>0</v>
      </c>
      <c r="AA29" s="28">
        <f t="shared" si="4"/>
        <v>0</v>
      </c>
      <c r="AB29" s="28">
        <f t="shared" si="4"/>
        <v>0</v>
      </c>
      <c r="AC29" s="75"/>
      <c r="AD29" s="22"/>
      <c r="AE29" s="22"/>
      <c r="AF29" s="22"/>
    </row>
    <row r="30" spans="1:32" ht="15" customHeight="1">
      <c r="A30" s="16"/>
      <c r="B30" s="90" t="s">
        <v>33</v>
      </c>
      <c r="C30" s="18"/>
      <c r="D30" s="18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9"/>
      <c r="P30" s="29"/>
      <c r="Q30" s="29"/>
      <c r="R30" s="29"/>
      <c r="S30" s="29"/>
      <c r="T30" s="29"/>
      <c r="U30" s="29"/>
      <c r="V30" s="29"/>
      <c r="W30" s="29"/>
      <c r="X30" s="79"/>
      <c r="Y30" s="22"/>
      <c r="Z30" s="37"/>
      <c r="AA30" s="37"/>
      <c r="AB30" s="37"/>
      <c r="AC30" s="22"/>
      <c r="AD30" s="22"/>
      <c r="AE30" s="22"/>
      <c r="AF30" s="22"/>
    </row>
    <row r="31" spans="1:31" ht="15" customHeight="1">
      <c r="A31" s="131" t="s">
        <v>34</v>
      </c>
      <c r="B31" s="59" t="s">
        <v>35</v>
      </c>
      <c r="C31" s="60" t="s">
        <v>26</v>
      </c>
      <c r="D31" s="60" t="s">
        <v>26</v>
      </c>
      <c r="E31" s="61">
        <v>10.36</v>
      </c>
      <c r="F31" s="61">
        <v>10.36</v>
      </c>
      <c r="G31" s="61">
        <v>5.31</v>
      </c>
      <c r="H31" s="62">
        <v>5.31</v>
      </c>
      <c r="I31" s="61">
        <v>4.5</v>
      </c>
      <c r="J31" s="62">
        <v>4.5</v>
      </c>
      <c r="K31" s="61">
        <v>8.91</v>
      </c>
      <c r="L31" s="62">
        <v>8.91</v>
      </c>
      <c r="M31" s="61">
        <v>97.38</v>
      </c>
      <c r="N31" s="62">
        <v>97.38</v>
      </c>
      <c r="O31" s="61">
        <v>0.07</v>
      </c>
      <c r="P31" s="62">
        <v>0.07</v>
      </c>
      <c r="Q31" s="61">
        <v>0.3</v>
      </c>
      <c r="R31" s="62">
        <v>0.3</v>
      </c>
      <c r="S31" s="61">
        <v>2.46</v>
      </c>
      <c r="T31" s="62">
        <v>2.46</v>
      </c>
      <c r="U31" s="61">
        <v>275.74</v>
      </c>
      <c r="V31" s="62">
        <v>275.74</v>
      </c>
      <c r="W31" s="61">
        <v>0.23</v>
      </c>
      <c r="X31" s="62">
        <v>0.23</v>
      </c>
      <c r="Y31" s="37"/>
      <c r="Z31" s="37"/>
      <c r="AA31" s="37"/>
      <c r="AB31" s="37"/>
      <c r="AC31" s="37"/>
      <c r="AD31" s="37"/>
      <c r="AE31" s="22"/>
    </row>
    <row r="32" spans="1:29" s="73" customFormat="1" ht="15" customHeight="1">
      <c r="A32" s="16"/>
      <c r="B32" s="17" t="s">
        <v>23</v>
      </c>
      <c r="C32" s="18"/>
      <c r="D32" s="18"/>
      <c r="E32" s="28">
        <f>SUM(E31)</f>
        <v>10.36</v>
      </c>
      <c r="F32" s="28">
        <f>SUM(F31)</f>
        <v>10.36</v>
      </c>
      <c r="G32" s="28">
        <f aca="true" t="shared" si="5" ref="G32:T32">SUM(G31)</f>
        <v>5.31</v>
      </c>
      <c r="H32" s="28">
        <f t="shared" si="5"/>
        <v>5.31</v>
      </c>
      <c r="I32" s="28">
        <f t="shared" si="5"/>
        <v>4.5</v>
      </c>
      <c r="J32" s="28">
        <f t="shared" si="5"/>
        <v>4.5</v>
      </c>
      <c r="K32" s="28">
        <f t="shared" si="5"/>
        <v>8.91</v>
      </c>
      <c r="L32" s="28">
        <f t="shared" si="5"/>
        <v>8.91</v>
      </c>
      <c r="M32" s="28">
        <f t="shared" si="5"/>
        <v>97.38</v>
      </c>
      <c r="N32" s="28">
        <f t="shared" si="5"/>
        <v>97.38</v>
      </c>
      <c r="O32" s="28">
        <f t="shared" si="5"/>
        <v>0.07</v>
      </c>
      <c r="P32" s="28">
        <f t="shared" si="5"/>
        <v>0.07</v>
      </c>
      <c r="Q32" s="28">
        <f t="shared" si="5"/>
        <v>0.3</v>
      </c>
      <c r="R32" s="28">
        <f t="shared" si="5"/>
        <v>0.3</v>
      </c>
      <c r="S32" s="28">
        <f t="shared" si="5"/>
        <v>2.46</v>
      </c>
      <c r="T32" s="28">
        <f t="shared" si="5"/>
        <v>2.46</v>
      </c>
      <c r="U32" s="28" t="e">
        <f>SUM(#REF!)</f>
        <v>#REF!</v>
      </c>
      <c r="V32" s="28" t="e">
        <f>SUM(#REF!)</f>
        <v>#REF!</v>
      </c>
      <c r="W32" s="28" t="e">
        <f>SUM(#REF!)</f>
        <v>#REF!</v>
      </c>
      <c r="X32" s="85" t="e">
        <f>SUM(#REF!)</f>
        <v>#REF!</v>
      </c>
      <c r="Y32" s="86"/>
      <c r="Z32" s="75"/>
      <c r="AA32" s="75"/>
      <c r="AB32" s="75"/>
      <c r="AC32" s="75"/>
    </row>
    <row r="33" spans="1:32" ht="15" customHeight="1">
      <c r="A33" s="16"/>
      <c r="B33" s="90" t="s">
        <v>36</v>
      </c>
      <c r="C33" s="18"/>
      <c r="D33" s="18"/>
      <c r="E33" s="33"/>
      <c r="F33" s="19"/>
      <c r="G33" s="19"/>
      <c r="H33" s="20"/>
      <c r="I33" s="20"/>
      <c r="J33" s="20"/>
      <c r="K33" s="20"/>
      <c r="L33" s="20"/>
      <c r="M33" s="20"/>
      <c r="N33" s="20"/>
      <c r="O33" s="29"/>
      <c r="P33" s="29"/>
      <c r="Q33" s="29"/>
      <c r="R33" s="29"/>
      <c r="S33" s="29"/>
      <c r="T33" s="29"/>
      <c r="U33" s="29"/>
      <c r="V33" s="29"/>
      <c r="W33" s="29"/>
      <c r="X33" s="79"/>
      <c r="Y33" s="22"/>
      <c r="Z33" s="37"/>
      <c r="AA33" s="37"/>
      <c r="AB33" s="37"/>
      <c r="AC33" s="22"/>
      <c r="AD33" s="22"/>
      <c r="AE33" s="22"/>
      <c r="AF33" s="22"/>
    </row>
    <row r="34" spans="1:29" ht="15.75" customHeight="1">
      <c r="A34" s="150" t="s">
        <v>180</v>
      </c>
      <c r="B34" s="59" t="s">
        <v>181</v>
      </c>
      <c r="C34" s="60" t="s">
        <v>29</v>
      </c>
      <c r="D34" s="60" t="s">
        <v>115</v>
      </c>
      <c r="E34" s="61">
        <v>1.4</v>
      </c>
      <c r="F34" s="61">
        <v>0.93</v>
      </c>
      <c r="G34" s="62">
        <f>H34*75/50</f>
        <v>1.17</v>
      </c>
      <c r="H34" s="62">
        <v>0.78</v>
      </c>
      <c r="I34" s="62">
        <f>J34*75/50</f>
        <v>3.75</v>
      </c>
      <c r="J34" s="62">
        <v>2.5</v>
      </c>
      <c r="K34" s="62">
        <f>L34*75/50</f>
        <v>7.5</v>
      </c>
      <c r="L34" s="62">
        <v>5</v>
      </c>
      <c r="M34" s="62">
        <f>N34*75/50</f>
        <v>68.445</v>
      </c>
      <c r="N34" s="62">
        <v>45.63</v>
      </c>
      <c r="O34" s="63">
        <v>0.02</v>
      </c>
      <c r="P34" s="62">
        <f>O34*30/40</f>
        <v>0.015</v>
      </c>
      <c r="Q34" s="63">
        <v>0.02</v>
      </c>
      <c r="R34" s="62">
        <f>Q34*30/40</f>
        <v>0.015</v>
      </c>
      <c r="S34" s="62">
        <f>T34*75/50</f>
        <v>12.495</v>
      </c>
      <c r="T34" s="62">
        <v>8.33</v>
      </c>
      <c r="U34" s="62">
        <f>V34*35/30</f>
        <v>5.121666666666666</v>
      </c>
      <c r="V34" s="62">
        <v>4.39</v>
      </c>
      <c r="W34" s="62">
        <f>X34*35/30</f>
        <v>0.35</v>
      </c>
      <c r="X34" s="62">
        <v>0.3</v>
      </c>
      <c r="Z34" s="22"/>
      <c r="AA34" s="22"/>
      <c r="AB34" s="22"/>
      <c r="AC34" s="22"/>
    </row>
    <row r="35" spans="1:29" s="127" customFormat="1" ht="14.25" customHeight="1">
      <c r="A35" s="16" t="s">
        <v>182</v>
      </c>
      <c r="B35" s="17" t="s">
        <v>183</v>
      </c>
      <c r="C35" s="18" t="s">
        <v>29</v>
      </c>
      <c r="D35" s="18" t="s">
        <v>29</v>
      </c>
      <c r="E35" s="19">
        <v>26.23</v>
      </c>
      <c r="F35" s="19">
        <v>26.23</v>
      </c>
      <c r="G35" s="146">
        <v>13.37</v>
      </c>
      <c r="H35" s="146">
        <v>13.37</v>
      </c>
      <c r="I35" s="146">
        <v>6.41</v>
      </c>
      <c r="J35" s="146">
        <v>6.41</v>
      </c>
      <c r="K35" s="146">
        <v>3.42</v>
      </c>
      <c r="L35" s="146">
        <v>3.42</v>
      </c>
      <c r="M35" s="146">
        <v>124.82</v>
      </c>
      <c r="N35" s="146">
        <v>124.82</v>
      </c>
      <c r="O35" s="151">
        <v>0.06</v>
      </c>
      <c r="P35" s="151">
        <v>0.06</v>
      </c>
      <c r="Q35" s="151">
        <v>0.16</v>
      </c>
      <c r="R35" s="151">
        <v>0.16</v>
      </c>
      <c r="S35" s="151">
        <v>0.19</v>
      </c>
      <c r="T35" s="151">
        <v>0.19</v>
      </c>
      <c r="U35" s="62">
        <v>30.69</v>
      </c>
      <c r="V35" s="62">
        <v>30.69</v>
      </c>
      <c r="W35" s="62">
        <v>0.52</v>
      </c>
      <c r="X35" s="84">
        <v>0.52</v>
      </c>
      <c r="Y35" s="125"/>
      <c r="Z35" s="126"/>
      <c r="AA35" s="126"/>
      <c r="AB35" s="126"/>
      <c r="AC35" s="126"/>
    </row>
    <row r="36" spans="1:31" ht="15" customHeight="1">
      <c r="A36" s="131" t="s">
        <v>90</v>
      </c>
      <c r="B36" s="59" t="s">
        <v>91</v>
      </c>
      <c r="C36" s="60" t="s">
        <v>22</v>
      </c>
      <c r="D36" s="60" t="s">
        <v>22</v>
      </c>
      <c r="E36" s="61">
        <v>7.09</v>
      </c>
      <c r="F36" s="61">
        <v>7.09</v>
      </c>
      <c r="G36" s="62">
        <v>3</v>
      </c>
      <c r="H36" s="62">
        <v>3</v>
      </c>
      <c r="I36" s="62">
        <v>4.8</v>
      </c>
      <c r="J36" s="62">
        <v>4.8</v>
      </c>
      <c r="K36" s="62">
        <v>20.4</v>
      </c>
      <c r="L36" s="62">
        <v>20.4</v>
      </c>
      <c r="M36" s="62">
        <v>140</v>
      </c>
      <c r="N36" s="62">
        <v>140</v>
      </c>
      <c r="O36" s="63">
        <v>0.16</v>
      </c>
      <c r="P36" s="63">
        <v>0</v>
      </c>
      <c r="Q36" s="63">
        <v>0.1</v>
      </c>
      <c r="R36" s="63">
        <f>Q36/1.5</f>
        <v>0.06666666666666667</v>
      </c>
      <c r="S36" s="62">
        <v>18.1</v>
      </c>
      <c r="T36" s="62">
        <v>18.1</v>
      </c>
      <c r="U36" s="65">
        <v>42.66</v>
      </c>
      <c r="V36" s="65">
        <v>35.44</v>
      </c>
      <c r="W36" s="65">
        <v>0.19</v>
      </c>
      <c r="X36" s="65">
        <f>W36/1.5</f>
        <v>0.12666666666666668</v>
      </c>
      <c r="Y36" s="22"/>
      <c r="Z36" s="22"/>
      <c r="AA36" s="22"/>
      <c r="AB36" s="22"/>
      <c r="AC36" s="22"/>
      <c r="AD36" s="22"/>
      <c r="AE36" s="22"/>
    </row>
    <row r="37" spans="1:31" ht="15" customHeight="1">
      <c r="A37" s="132" t="s">
        <v>97</v>
      </c>
      <c r="B37" s="23" t="s">
        <v>98</v>
      </c>
      <c r="C37" s="18" t="s">
        <v>21</v>
      </c>
      <c r="D37" s="18" t="s">
        <v>22</v>
      </c>
      <c r="E37" s="19">
        <v>0.41</v>
      </c>
      <c r="F37" s="19">
        <v>0.3</v>
      </c>
      <c r="G37" s="19">
        <v>0.18</v>
      </c>
      <c r="H37" s="20">
        <v>0.13</v>
      </c>
      <c r="I37" s="19">
        <f>J37*200/150</f>
        <v>0</v>
      </c>
      <c r="J37" s="20">
        <v>0</v>
      </c>
      <c r="K37" s="19">
        <v>4.78</v>
      </c>
      <c r="L37" s="20">
        <v>3.58</v>
      </c>
      <c r="M37" s="19">
        <v>19.9</v>
      </c>
      <c r="N37" s="20">
        <v>14.92</v>
      </c>
      <c r="O37" s="19">
        <f>P37*200/150</f>
        <v>0.013333333333333334</v>
      </c>
      <c r="P37" s="29">
        <v>0.01</v>
      </c>
      <c r="Q37" s="19">
        <f>R37*200/150</f>
        <v>0.013333333333333334</v>
      </c>
      <c r="R37" s="29">
        <v>0.01</v>
      </c>
      <c r="S37" s="19">
        <v>0.04</v>
      </c>
      <c r="T37" s="29">
        <v>0.03</v>
      </c>
      <c r="U37" s="19">
        <f>V37*200/150</f>
        <v>5.053333333333334</v>
      </c>
      <c r="V37" s="29">
        <v>3.79</v>
      </c>
      <c r="W37" s="19">
        <f>X37*200/150</f>
        <v>0.84</v>
      </c>
      <c r="X37" s="79">
        <v>0.63</v>
      </c>
      <c r="Y37" s="22"/>
      <c r="Z37" s="22"/>
      <c r="AA37" s="22"/>
      <c r="AB37" s="22"/>
      <c r="AC37" s="22"/>
      <c r="AD37" s="22"/>
      <c r="AE37" s="22"/>
    </row>
    <row r="38" spans="1:31" s="68" customFormat="1" ht="15" customHeight="1">
      <c r="A38" s="131"/>
      <c r="B38" s="59" t="s">
        <v>30</v>
      </c>
      <c r="C38" s="60" t="s">
        <v>31</v>
      </c>
      <c r="D38" s="60" t="s">
        <v>31</v>
      </c>
      <c r="E38" s="61">
        <v>1.11</v>
      </c>
      <c r="F38" s="61">
        <v>1.11</v>
      </c>
      <c r="G38" s="61">
        <v>1.6</v>
      </c>
      <c r="H38" s="61">
        <v>1.6</v>
      </c>
      <c r="I38" s="61">
        <v>0.4</v>
      </c>
      <c r="J38" s="61">
        <v>0.4</v>
      </c>
      <c r="K38" s="61">
        <v>10</v>
      </c>
      <c r="L38" s="61">
        <v>10</v>
      </c>
      <c r="M38" s="62">
        <v>54</v>
      </c>
      <c r="N38" s="62">
        <v>54</v>
      </c>
      <c r="O38" s="65">
        <v>0.04</v>
      </c>
      <c r="P38" s="66">
        <v>0.04</v>
      </c>
      <c r="Q38" s="65">
        <v>0.02</v>
      </c>
      <c r="R38" s="66">
        <v>0.02</v>
      </c>
      <c r="S38" s="65">
        <v>0</v>
      </c>
      <c r="T38" s="66">
        <v>0</v>
      </c>
      <c r="U38" s="65">
        <v>7.4</v>
      </c>
      <c r="V38" s="66">
        <v>7.4</v>
      </c>
      <c r="W38" s="65">
        <v>0.56</v>
      </c>
      <c r="X38" s="66">
        <v>0.56</v>
      </c>
      <c r="Y38" s="67"/>
      <c r="Z38" s="67"/>
      <c r="AA38" s="67"/>
      <c r="AB38" s="67"/>
      <c r="AC38" s="67"/>
      <c r="AD38" s="67"/>
      <c r="AE38" s="67"/>
    </row>
    <row r="39" spans="1:32" ht="15" customHeight="1">
      <c r="A39" s="16"/>
      <c r="B39" s="17" t="s">
        <v>23</v>
      </c>
      <c r="C39" s="18"/>
      <c r="D39" s="18"/>
      <c r="E39" s="28">
        <f>SUM(E34:E38)</f>
        <v>36.239999999999995</v>
      </c>
      <c r="F39" s="28">
        <f>SUM(F34:F38)</f>
        <v>35.66</v>
      </c>
      <c r="G39" s="28">
        <f aca="true" t="shared" si="6" ref="G39:T39">SUM(G34:G38)</f>
        <v>19.32</v>
      </c>
      <c r="H39" s="28">
        <f t="shared" si="6"/>
        <v>18.88</v>
      </c>
      <c r="I39" s="28">
        <f t="shared" si="6"/>
        <v>15.360000000000001</v>
      </c>
      <c r="J39" s="28">
        <f t="shared" si="6"/>
        <v>14.110000000000001</v>
      </c>
      <c r="K39" s="28">
        <f t="shared" si="6"/>
        <v>46.1</v>
      </c>
      <c r="L39" s="28">
        <f t="shared" si="6"/>
        <v>42.4</v>
      </c>
      <c r="M39" s="28">
        <f t="shared" si="6"/>
        <v>407.16499999999996</v>
      </c>
      <c r="N39" s="28">
        <f t="shared" si="6"/>
        <v>379.37</v>
      </c>
      <c r="O39" s="28">
        <f t="shared" si="6"/>
        <v>0.2933333333333333</v>
      </c>
      <c r="P39" s="28">
        <f t="shared" si="6"/>
        <v>0.125</v>
      </c>
      <c r="Q39" s="28">
        <f t="shared" si="6"/>
        <v>0.31333333333333335</v>
      </c>
      <c r="R39" s="28">
        <f t="shared" si="6"/>
        <v>0.27166666666666667</v>
      </c>
      <c r="S39" s="28">
        <f t="shared" si="6"/>
        <v>30.825</v>
      </c>
      <c r="T39" s="28">
        <f t="shared" si="6"/>
        <v>26.650000000000002</v>
      </c>
      <c r="U39" s="28">
        <f aca="true" t="shared" si="7" ref="U39:AB39">SUM(U34:U38)</f>
        <v>90.925</v>
      </c>
      <c r="V39" s="28">
        <f t="shared" si="7"/>
        <v>81.71000000000001</v>
      </c>
      <c r="W39" s="28">
        <f t="shared" si="7"/>
        <v>2.46</v>
      </c>
      <c r="X39" s="28">
        <f t="shared" si="7"/>
        <v>2.1366666666666667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75"/>
      <c r="AD39" s="22"/>
      <c r="AE39" s="22"/>
      <c r="AF39" s="22"/>
    </row>
    <row r="40" spans="1:32" ht="15" customHeight="1">
      <c r="A40" s="16"/>
      <c r="B40" s="17" t="s">
        <v>37</v>
      </c>
      <c r="C40" s="18"/>
      <c r="D40" s="18"/>
      <c r="E40" s="28">
        <f>E39+E32+E29+E20+E17</f>
        <v>97.67</v>
      </c>
      <c r="F40" s="28">
        <f>F39+F32+F29+F20+F17</f>
        <v>91.97</v>
      </c>
      <c r="G40" s="28">
        <f aca="true" t="shared" si="8" ref="G40:T40">G39+G32+G29+G20+G17</f>
        <v>53.73</v>
      </c>
      <c r="H40" s="28">
        <f t="shared" si="8"/>
        <v>49.38</v>
      </c>
      <c r="I40" s="28">
        <f t="shared" si="8"/>
        <v>52.155</v>
      </c>
      <c r="J40" s="28">
        <f t="shared" si="8"/>
        <v>44.726</v>
      </c>
      <c r="K40" s="28">
        <f t="shared" si="8"/>
        <v>255.64</v>
      </c>
      <c r="L40" s="28">
        <f t="shared" si="8"/>
        <v>208.99999999999997</v>
      </c>
      <c r="M40" s="28">
        <f t="shared" si="8"/>
        <v>1695.81</v>
      </c>
      <c r="N40" s="28">
        <f t="shared" si="8"/>
        <v>1400.05</v>
      </c>
      <c r="O40" s="28">
        <f t="shared" si="8"/>
        <v>1.1603333333333332</v>
      </c>
      <c r="P40" s="28">
        <f t="shared" si="8"/>
        <v>0.8333333333333333</v>
      </c>
      <c r="Q40" s="28">
        <f t="shared" si="8"/>
        <v>1.0893333333333335</v>
      </c>
      <c r="R40" s="28">
        <f t="shared" si="8"/>
        <v>0.9941666666666666</v>
      </c>
      <c r="S40" s="28">
        <f t="shared" si="8"/>
        <v>54.37499999999999</v>
      </c>
      <c r="T40" s="28">
        <f t="shared" si="8"/>
        <v>44.8875</v>
      </c>
      <c r="U40" s="28" t="e">
        <f>U39+U32+U29+U20+U17</f>
        <v>#REF!</v>
      </c>
      <c r="V40" s="28" t="e">
        <f>V39+V32+V29+V20+V17</f>
        <v>#REF!</v>
      </c>
      <c r="W40" s="28" t="e">
        <f>W39+W32+W29+W20+W17</f>
        <v>#REF!</v>
      </c>
      <c r="X40" s="78" t="e">
        <f>X39+X32+X29+X20+X17</f>
        <v>#REF!</v>
      </c>
      <c r="Y40" s="75"/>
      <c r="Z40" s="75"/>
      <c r="AA40" s="75"/>
      <c r="AB40" s="75"/>
      <c r="AC40" s="75"/>
      <c r="AD40" s="22"/>
      <c r="AE40" s="22"/>
      <c r="AF40" s="22"/>
    </row>
    <row r="41" spans="1:32" ht="15" customHeight="1">
      <c r="A41" s="16"/>
      <c r="B41" s="17"/>
      <c r="C41" s="18"/>
      <c r="D41" s="1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78"/>
      <c r="Y41" s="75"/>
      <c r="Z41" s="75"/>
      <c r="AA41" s="75"/>
      <c r="AB41" s="75"/>
      <c r="AC41" s="75"/>
      <c r="AD41" s="22"/>
      <c r="AE41" s="22"/>
      <c r="AF41" s="22"/>
    </row>
    <row r="42" spans="1:32" ht="15" customHeight="1">
      <c r="A42" s="16"/>
      <c r="B42" s="88" t="s">
        <v>176</v>
      </c>
      <c r="C42" s="18"/>
      <c r="D42" s="18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9"/>
      <c r="P42" s="29"/>
      <c r="Q42" s="29"/>
      <c r="R42" s="29"/>
      <c r="S42" s="29"/>
      <c r="T42" s="29"/>
      <c r="U42" s="29"/>
      <c r="V42" s="29"/>
      <c r="W42" s="29"/>
      <c r="X42" s="79"/>
      <c r="Y42" s="22"/>
      <c r="Z42" s="37"/>
      <c r="AA42" s="37"/>
      <c r="AB42" s="37"/>
      <c r="AC42" s="22"/>
      <c r="AD42" s="22"/>
      <c r="AE42" s="22"/>
      <c r="AF42" s="22"/>
    </row>
    <row r="43" spans="1:32" ht="15" customHeight="1">
      <c r="A43" s="16"/>
      <c r="B43" s="90" t="s">
        <v>17</v>
      </c>
      <c r="C43" s="18"/>
      <c r="D43" s="18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9"/>
      <c r="P43" s="29"/>
      <c r="Q43" s="29"/>
      <c r="R43" s="29"/>
      <c r="S43" s="29"/>
      <c r="T43" s="29"/>
      <c r="U43" s="29"/>
      <c r="V43" s="29"/>
      <c r="W43" s="29"/>
      <c r="X43" s="79"/>
      <c r="Y43" s="22"/>
      <c r="Z43" s="37"/>
      <c r="AA43" s="37"/>
      <c r="AB43" s="37"/>
      <c r="AC43" s="22"/>
      <c r="AD43" s="22"/>
      <c r="AE43" s="22"/>
      <c r="AF43" s="22"/>
    </row>
    <row r="44" spans="1:30" s="31" customFormat="1" ht="15" customHeight="1">
      <c r="A44" s="131" t="s">
        <v>38</v>
      </c>
      <c r="B44" s="59" t="s">
        <v>39</v>
      </c>
      <c r="C44" s="60" t="s">
        <v>93</v>
      </c>
      <c r="D44" s="60" t="s">
        <v>93</v>
      </c>
      <c r="E44" s="61">
        <v>4.03</v>
      </c>
      <c r="F44" s="61">
        <v>4.03</v>
      </c>
      <c r="G44" s="61">
        <v>1.63</v>
      </c>
      <c r="H44" s="62">
        <v>1.63</v>
      </c>
      <c r="I44" s="62">
        <v>4.7</v>
      </c>
      <c r="J44" s="62">
        <v>4.7</v>
      </c>
      <c r="K44" s="62">
        <v>10.4</v>
      </c>
      <c r="L44" s="62">
        <v>10.4</v>
      </c>
      <c r="M44" s="62">
        <v>90.42</v>
      </c>
      <c r="N44" s="62">
        <v>90.42</v>
      </c>
      <c r="O44" s="63">
        <v>0.08</v>
      </c>
      <c r="P44" s="69">
        <v>0.05</v>
      </c>
      <c r="Q44" s="63">
        <v>0.04</v>
      </c>
      <c r="R44" s="69">
        <v>0.02</v>
      </c>
      <c r="S44" s="63">
        <v>0</v>
      </c>
      <c r="T44" s="62">
        <f>S44*25/45</f>
        <v>0</v>
      </c>
      <c r="U44" s="65">
        <v>13.6</v>
      </c>
      <c r="V44" s="66">
        <v>8.6</v>
      </c>
      <c r="W44" s="65">
        <v>0.81</v>
      </c>
      <c r="X44" s="66">
        <v>0.49</v>
      </c>
      <c r="Y44" s="30"/>
      <c r="Z44" s="30"/>
      <c r="AA44" s="30"/>
      <c r="AB44" s="30"/>
      <c r="AC44" s="30"/>
      <c r="AD44" s="30"/>
    </row>
    <row r="45" spans="1:33" ht="13.5" customHeight="1">
      <c r="A45" s="131" t="s">
        <v>109</v>
      </c>
      <c r="B45" s="59" t="s">
        <v>151</v>
      </c>
      <c r="C45" s="60" t="s">
        <v>21</v>
      </c>
      <c r="D45" s="60" t="s">
        <v>22</v>
      </c>
      <c r="E45" s="19">
        <v>6.71</v>
      </c>
      <c r="F45" s="19">
        <v>5.04</v>
      </c>
      <c r="G45" s="61">
        <v>5.76</v>
      </c>
      <c r="H45" s="61">
        <v>4.32</v>
      </c>
      <c r="I45" s="61">
        <v>6.64</v>
      </c>
      <c r="J45" s="61">
        <v>4.98</v>
      </c>
      <c r="K45" s="61">
        <v>19.28</v>
      </c>
      <c r="L45" s="61">
        <f>K45*150/200</f>
        <v>14.46</v>
      </c>
      <c r="M45" s="61">
        <v>160</v>
      </c>
      <c r="N45" s="61">
        <v>120</v>
      </c>
      <c r="O45" s="62">
        <v>0.09</v>
      </c>
      <c r="P45" s="61">
        <f>O45*150/200</f>
        <v>0.0675</v>
      </c>
      <c r="Q45" s="62">
        <v>0.14</v>
      </c>
      <c r="R45" s="61">
        <f>Q45*150/200</f>
        <v>0.10500000000000002</v>
      </c>
      <c r="S45" s="62">
        <v>0.9</v>
      </c>
      <c r="T45" s="61">
        <v>0.67</v>
      </c>
      <c r="U45" s="62">
        <v>129.32</v>
      </c>
      <c r="V45" s="61">
        <f>U45*150/200</f>
        <v>96.99</v>
      </c>
      <c r="W45" s="62">
        <v>0.42</v>
      </c>
      <c r="X45" s="145">
        <f>W45*150/200</f>
        <v>0.315</v>
      </c>
      <c r="Y45" s="83"/>
      <c r="Z45" s="22"/>
      <c r="AA45" s="22"/>
      <c r="AB45" s="22"/>
      <c r="AC45" s="22"/>
      <c r="AD45" s="22"/>
      <c r="AE45" s="22"/>
      <c r="AF45" s="22"/>
      <c r="AG45" s="22"/>
    </row>
    <row r="46" spans="1:31" ht="15.75" customHeight="1">
      <c r="A46" s="131" t="s">
        <v>50</v>
      </c>
      <c r="B46" s="59" t="s">
        <v>40</v>
      </c>
      <c r="C46" s="60" t="s">
        <v>26</v>
      </c>
      <c r="D46" s="60" t="s">
        <v>22</v>
      </c>
      <c r="E46" s="61">
        <v>5.9</v>
      </c>
      <c r="F46" s="61">
        <v>4.76</v>
      </c>
      <c r="G46" s="61">
        <v>2.85</v>
      </c>
      <c r="H46" s="62">
        <v>2.34</v>
      </c>
      <c r="I46" s="61">
        <v>2.41</v>
      </c>
      <c r="J46" s="62">
        <v>2</v>
      </c>
      <c r="K46" s="61">
        <v>14.36</v>
      </c>
      <c r="L46" s="62">
        <v>10.63</v>
      </c>
      <c r="M46" s="61">
        <v>91</v>
      </c>
      <c r="N46" s="62">
        <v>70</v>
      </c>
      <c r="O46" s="61">
        <f>P46*180/150</f>
        <v>0.012</v>
      </c>
      <c r="P46" s="69">
        <v>0.01</v>
      </c>
      <c r="Q46" s="61">
        <f>R46*180/150</f>
        <v>0.084</v>
      </c>
      <c r="R46" s="69">
        <v>0.07</v>
      </c>
      <c r="S46" s="61">
        <v>1.17</v>
      </c>
      <c r="T46" s="62">
        <f>S46*150/180</f>
        <v>0.975</v>
      </c>
      <c r="U46" s="61">
        <f>V46*180/150</f>
        <v>57.516</v>
      </c>
      <c r="V46" s="69">
        <v>47.93</v>
      </c>
      <c r="W46" s="61">
        <f>X46*180/150</f>
        <v>0.264</v>
      </c>
      <c r="X46" s="69">
        <v>0.22</v>
      </c>
      <c r="Y46" s="22"/>
      <c r="Z46" s="22"/>
      <c r="AA46" s="22"/>
      <c r="AB46" s="22"/>
      <c r="AC46" s="22"/>
      <c r="AD46" s="22"/>
      <c r="AE46" s="22"/>
    </row>
    <row r="47" spans="1:32" ht="15" customHeight="1">
      <c r="A47" s="16"/>
      <c r="B47" s="17" t="s">
        <v>23</v>
      </c>
      <c r="C47" s="18"/>
      <c r="D47" s="18"/>
      <c r="E47" s="28">
        <f>SUM(E44:E46)</f>
        <v>16.64</v>
      </c>
      <c r="F47" s="28">
        <f>SUM(F44:F46)</f>
        <v>13.83</v>
      </c>
      <c r="G47" s="28">
        <f aca="true" t="shared" si="9" ref="G47:T47">SUM(G44:G46)</f>
        <v>10.24</v>
      </c>
      <c r="H47" s="28">
        <f t="shared" si="9"/>
        <v>8.29</v>
      </c>
      <c r="I47" s="28">
        <f t="shared" si="9"/>
        <v>13.75</v>
      </c>
      <c r="J47" s="28">
        <f t="shared" si="9"/>
        <v>11.68</v>
      </c>
      <c r="K47" s="28">
        <f t="shared" si="9"/>
        <v>44.04</v>
      </c>
      <c r="L47" s="28">
        <f t="shared" si="9"/>
        <v>35.49</v>
      </c>
      <c r="M47" s="28">
        <f t="shared" si="9"/>
        <v>341.42</v>
      </c>
      <c r="N47" s="28">
        <f t="shared" si="9"/>
        <v>280.42</v>
      </c>
      <c r="O47" s="28">
        <f t="shared" si="9"/>
        <v>0.182</v>
      </c>
      <c r="P47" s="28">
        <f t="shared" si="9"/>
        <v>0.1275</v>
      </c>
      <c r="Q47" s="28">
        <f t="shared" si="9"/>
        <v>0.264</v>
      </c>
      <c r="R47" s="28">
        <f t="shared" si="9"/>
        <v>0.19500000000000003</v>
      </c>
      <c r="S47" s="28">
        <f t="shared" si="9"/>
        <v>2.07</v>
      </c>
      <c r="T47" s="28">
        <f t="shared" si="9"/>
        <v>1.645</v>
      </c>
      <c r="U47" s="28">
        <f aca="true" t="shared" si="10" ref="U47:AB47">SUM(U44:U46)</f>
        <v>200.43599999999998</v>
      </c>
      <c r="V47" s="28">
        <f t="shared" si="10"/>
        <v>153.51999999999998</v>
      </c>
      <c r="W47" s="28">
        <f t="shared" si="10"/>
        <v>1.494</v>
      </c>
      <c r="X47" s="28">
        <f t="shared" si="10"/>
        <v>1.025</v>
      </c>
      <c r="Y47" s="28">
        <f t="shared" si="10"/>
        <v>0</v>
      </c>
      <c r="Z47" s="28">
        <f t="shared" si="10"/>
        <v>0</v>
      </c>
      <c r="AA47" s="28">
        <f t="shared" si="10"/>
        <v>0</v>
      </c>
      <c r="AB47" s="28">
        <f t="shared" si="10"/>
        <v>0</v>
      </c>
      <c r="AC47" s="75"/>
      <c r="AD47" s="22"/>
      <c r="AE47" s="22"/>
      <c r="AF47" s="22"/>
    </row>
    <row r="48" spans="1:32" ht="15" customHeight="1">
      <c r="A48" s="16"/>
      <c r="B48" s="90" t="s">
        <v>41</v>
      </c>
      <c r="C48" s="18"/>
      <c r="D48" s="18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9"/>
      <c r="P48" s="29"/>
      <c r="Q48" s="29"/>
      <c r="R48" s="29"/>
      <c r="S48" s="29"/>
      <c r="T48" s="29"/>
      <c r="U48" s="29"/>
      <c r="V48" s="29"/>
      <c r="W48" s="29"/>
      <c r="X48" s="79"/>
      <c r="Y48" s="22"/>
      <c r="Z48" s="37"/>
      <c r="AA48" s="37"/>
      <c r="AB48" s="37"/>
      <c r="AC48" s="22"/>
      <c r="AD48" s="22"/>
      <c r="AE48" s="22"/>
      <c r="AF48" s="22"/>
    </row>
    <row r="49" spans="1:31" s="32" customFormat="1" ht="15" customHeight="1">
      <c r="A49" s="132" t="s">
        <v>25</v>
      </c>
      <c r="B49" s="17" t="s">
        <v>63</v>
      </c>
      <c r="C49" s="18" t="s">
        <v>147</v>
      </c>
      <c r="D49" s="18" t="s">
        <v>147</v>
      </c>
      <c r="E49" s="19">
        <v>4.59</v>
      </c>
      <c r="F49" s="19">
        <v>4.59</v>
      </c>
      <c r="G49" s="25">
        <v>0</v>
      </c>
      <c r="H49" s="26">
        <v>0</v>
      </c>
      <c r="I49" s="25">
        <f>J49*180/150</f>
        <v>0</v>
      </c>
      <c r="J49" s="26">
        <v>0</v>
      </c>
      <c r="K49" s="25">
        <v>10.2</v>
      </c>
      <c r="L49" s="26">
        <v>10.2</v>
      </c>
      <c r="M49" s="25">
        <v>40.8</v>
      </c>
      <c r="N49" s="26">
        <v>40.8</v>
      </c>
      <c r="O49" s="25">
        <f>P49*180/150</f>
        <v>0</v>
      </c>
      <c r="P49" s="26">
        <v>0</v>
      </c>
      <c r="Q49" s="25">
        <f>R49*180/150</f>
        <v>0.024</v>
      </c>
      <c r="R49" s="26">
        <v>0.02</v>
      </c>
      <c r="S49" s="25">
        <v>3.4</v>
      </c>
      <c r="T49" s="26">
        <v>3.4</v>
      </c>
      <c r="U49" s="25">
        <f>V49*180/150</f>
        <v>9.996</v>
      </c>
      <c r="V49" s="26">
        <v>8.33</v>
      </c>
      <c r="W49" s="25">
        <f>X49*180/150</f>
        <v>0.252</v>
      </c>
      <c r="X49" s="81">
        <v>0.21</v>
      </c>
      <c r="Y49" s="37"/>
      <c r="Z49" s="37"/>
      <c r="AA49" s="37"/>
      <c r="AB49" s="37"/>
      <c r="AC49" s="37"/>
      <c r="AD49" s="37"/>
      <c r="AE49" s="37"/>
    </row>
    <row r="50" spans="1:32" ht="15" customHeight="1">
      <c r="A50" s="16"/>
      <c r="B50" s="17" t="s">
        <v>23</v>
      </c>
      <c r="C50" s="18"/>
      <c r="D50" s="18"/>
      <c r="E50" s="28">
        <f>SUM(E49)</f>
        <v>4.59</v>
      </c>
      <c r="F50" s="28">
        <f>SUM(F49)</f>
        <v>4.59</v>
      </c>
      <c r="G50" s="28">
        <f aca="true" t="shared" si="11" ref="G50:T50">SUM(G49)</f>
        <v>0</v>
      </c>
      <c r="H50" s="28">
        <f t="shared" si="11"/>
        <v>0</v>
      </c>
      <c r="I50" s="28">
        <f t="shared" si="11"/>
        <v>0</v>
      </c>
      <c r="J50" s="28">
        <f t="shared" si="11"/>
        <v>0</v>
      </c>
      <c r="K50" s="28">
        <f t="shared" si="11"/>
        <v>10.2</v>
      </c>
      <c r="L50" s="28">
        <f t="shared" si="11"/>
        <v>10.2</v>
      </c>
      <c r="M50" s="28">
        <f t="shared" si="11"/>
        <v>40.8</v>
      </c>
      <c r="N50" s="28">
        <f t="shared" si="11"/>
        <v>40.8</v>
      </c>
      <c r="O50" s="28">
        <f t="shared" si="11"/>
        <v>0</v>
      </c>
      <c r="P50" s="28">
        <f t="shared" si="11"/>
        <v>0</v>
      </c>
      <c r="Q50" s="28">
        <f t="shared" si="11"/>
        <v>0.024</v>
      </c>
      <c r="R50" s="28">
        <f t="shared" si="11"/>
        <v>0.02</v>
      </c>
      <c r="S50" s="28">
        <f t="shared" si="11"/>
        <v>3.4</v>
      </c>
      <c r="T50" s="28">
        <f t="shared" si="11"/>
        <v>3.4</v>
      </c>
      <c r="U50" s="28">
        <f aca="true" t="shared" si="12" ref="U50:AB50">SUM(U49)</f>
        <v>9.996</v>
      </c>
      <c r="V50" s="28">
        <f t="shared" si="12"/>
        <v>8.33</v>
      </c>
      <c r="W50" s="28">
        <f t="shared" si="12"/>
        <v>0.252</v>
      </c>
      <c r="X50" s="28">
        <f t="shared" si="12"/>
        <v>0.21</v>
      </c>
      <c r="Y50" s="28">
        <f t="shared" si="12"/>
        <v>0</v>
      </c>
      <c r="Z50" s="28">
        <f t="shared" si="12"/>
        <v>0</v>
      </c>
      <c r="AA50" s="28">
        <f t="shared" si="12"/>
        <v>0</v>
      </c>
      <c r="AB50" s="28">
        <f t="shared" si="12"/>
        <v>0</v>
      </c>
      <c r="AC50" s="75"/>
      <c r="AD50" s="22"/>
      <c r="AE50" s="22"/>
      <c r="AF50" s="22"/>
    </row>
    <row r="51" spans="1:32" ht="15" customHeight="1">
      <c r="A51" s="16"/>
      <c r="B51" s="90" t="s">
        <v>27</v>
      </c>
      <c r="C51" s="18"/>
      <c r="D51" s="18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9"/>
      <c r="P51" s="29"/>
      <c r="Q51" s="29"/>
      <c r="R51" s="29"/>
      <c r="S51" s="29"/>
      <c r="T51" s="29"/>
      <c r="U51" s="29"/>
      <c r="V51" s="29"/>
      <c r="W51" s="29"/>
      <c r="X51" s="79"/>
      <c r="Y51" s="22"/>
      <c r="Z51" s="37"/>
      <c r="AA51" s="37"/>
      <c r="AB51" s="37"/>
      <c r="AC51" s="22"/>
      <c r="AD51" s="22"/>
      <c r="AE51" s="22"/>
      <c r="AF51" s="22"/>
    </row>
    <row r="52" spans="1:24" ht="15" customHeight="1">
      <c r="A52" s="136" t="s">
        <v>85</v>
      </c>
      <c r="B52" s="122" t="s">
        <v>113</v>
      </c>
      <c r="C52" s="18" t="s">
        <v>29</v>
      </c>
      <c r="D52" s="18" t="s">
        <v>115</v>
      </c>
      <c r="E52" s="19">
        <v>2.87</v>
      </c>
      <c r="F52" s="19">
        <v>1.91</v>
      </c>
      <c r="G52" s="19">
        <f>H52*75/50</f>
        <v>1.65</v>
      </c>
      <c r="H52" s="20">
        <v>1.1</v>
      </c>
      <c r="I52" s="19">
        <f>J52*75/50</f>
        <v>5.7</v>
      </c>
      <c r="J52" s="20">
        <v>3.8</v>
      </c>
      <c r="K52" s="19">
        <f>L52*75/50</f>
        <v>8.55</v>
      </c>
      <c r="L52" s="20">
        <v>5.7</v>
      </c>
      <c r="M52" s="19">
        <f>N52*75/50</f>
        <v>96</v>
      </c>
      <c r="N52" s="20">
        <v>64</v>
      </c>
      <c r="O52" s="19">
        <f>P52*60/45</f>
        <v>0.013333333333333332</v>
      </c>
      <c r="P52" s="26">
        <v>0.01</v>
      </c>
      <c r="Q52" s="19">
        <f>R52*60/45</f>
        <v>0.026666666666666665</v>
      </c>
      <c r="R52" s="26">
        <v>0.02</v>
      </c>
      <c r="S52" s="19">
        <f>T52*75/50</f>
        <v>9.6</v>
      </c>
      <c r="T52" s="20">
        <v>6.4</v>
      </c>
      <c r="U52" s="19">
        <f>V52*60/45</f>
        <v>22.733333333333334</v>
      </c>
      <c r="V52" s="26">
        <v>17.05</v>
      </c>
      <c r="W52" s="19">
        <f>X52*60/45</f>
        <v>0.8666666666666667</v>
      </c>
      <c r="X52" s="26">
        <v>0.65</v>
      </c>
    </row>
    <row r="53" spans="1:31" s="31" customFormat="1" ht="25.5">
      <c r="A53" s="131" t="s">
        <v>129</v>
      </c>
      <c r="B53" s="64" t="s">
        <v>130</v>
      </c>
      <c r="C53" s="60" t="s">
        <v>131</v>
      </c>
      <c r="D53" s="60" t="s">
        <v>132</v>
      </c>
      <c r="E53" s="61">
        <v>7</v>
      </c>
      <c r="F53" s="61">
        <v>5.7</v>
      </c>
      <c r="G53" s="63">
        <v>2.05</v>
      </c>
      <c r="H53" s="63">
        <v>1.61</v>
      </c>
      <c r="I53" s="63">
        <v>5.1</v>
      </c>
      <c r="J53" s="63">
        <v>4.2</v>
      </c>
      <c r="K53" s="63">
        <v>10.47</v>
      </c>
      <c r="L53" s="63">
        <v>7.93</v>
      </c>
      <c r="M53" s="63">
        <v>96.05</v>
      </c>
      <c r="N53" s="63">
        <v>76.05</v>
      </c>
      <c r="O53" s="62">
        <v>0.1</v>
      </c>
      <c r="P53" s="63">
        <f>O53*163/213</f>
        <v>0.07652582159624413</v>
      </c>
      <c r="Q53" s="62">
        <v>0.05</v>
      </c>
      <c r="R53" s="63">
        <f>Q53*163/213</f>
        <v>0.038262910798122066</v>
      </c>
      <c r="S53" s="62">
        <v>10.25</v>
      </c>
      <c r="T53" s="63">
        <v>7.88</v>
      </c>
      <c r="U53" s="62">
        <v>32.89</v>
      </c>
      <c r="V53" s="63">
        <f>U53*163/213</f>
        <v>25.169342723004693</v>
      </c>
      <c r="W53" s="62">
        <v>1.07</v>
      </c>
      <c r="X53" s="63">
        <f>W53*163/213</f>
        <v>0.8188262910798122</v>
      </c>
      <c r="Z53" s="30"/>
      <c r="AA53" s="30"/>
      <c r="AB53" s="30"/>
      <c r="AC53" s="30"/>
      <c r="AD53" s="30"/>
      <c r="AE53" s="30"/>
    </row>
    <row r="54" spans="1:31" s="36" customFormat="1" ht="24" customHeight="1">
      <c r="A54" s="132" t="s">
        <v>86</v>
      </c>
      <c r="B54" s="23" t="s">
        <v>87</v>
      </c>
      <c r="C54" s="18" t="s">
        <v>28</v>
      </c>
      <c r="D54" s="18" t="s">
        <v>28</v>
      </c>
      <c r="E54" s="19">
        <v>16.34</v>
      </c>
      <c r="F54" s="19">
        <v>16.34</v>
      </c>
      <c r="G54" s="19">
        <v>6.6</v>
      </c>
      <c r="H54" s="19">
        <v>6.6</v>
      </c>
      <c r="I54" s="19">
        <v>9</v>
      </c>
      <c r="J54" s="20">
        <v>9</v>
      </c>
      <c r="K54" s="20">
        <v>1.8</v>
      </c>
      <c r="L54" s="20">
        <v>1.8</v>
      </c>
      <c r="M54" s="20">
        <v>115</v>
      </c>
      <c r="N54" s="20">
        <v>115</v>
      </c>
      <c r="O54" s="29">
        <v>0.05</v>
      </c>
      <c r="P54" s="29">
        <v>0.05</v>
      </c>
      <c r="Q54" s="141">
        <v>0.08</v>
      </c>
      <c r="R54" s="141">
        <v>0.08</v>
      </c>
      <c r="S54" s="141">
        <v>0.35</v>
      </c>
      <c r="T54" s="141">
        <v>0.35</v>
      </c>
      <c r="U54" s="141">
        <v>77.36</v>
      </c>
      <c r="V54" s="141">
        <v>77.36</v>
      </c>
      <c r="W54" s="141">
        <v>1.17</v>
      </c>
      <c r="X54" s="142">
        <v>1.17</v>
      </c>
      <c r="Y54" s="107"/>
      <c r="Z54" s="105"/>
      <c r="AA54" s="105"/>
      <c r="AB54" s="105"/>
      <c r="AC54" s="105"/>
      <c r="AD54" s="105"/>
      <c r="AE54" s="105"/>
    </row>
    <row r="55" spans="1:31" ht="15" customHeight="1">
      <c r="A55" s="132" t="s">
        <v>48</v>
      </c>
      <c r="B55" s="23" t="s">
        <v>49</v>
      </c>
      <c r="C55" s="18" t="s">
        <v>61</v>
      </c>
      <c r="D55" s="18" t="s">
        <v>89</v>
      </c>
      <c r="E55" s="40">
        <v>3.33</v>
      </c>
      <c r="F55" s="40">
        <v>2.56</v>
      </c>
      <c r="G55" s="20">
        <v>4.78</v>
      </c>
      <c r="H55" s="20">
        <v>3.82</v>
      </c>
      <c r="I55" s="20">
        <v>4.72</v>
      </c>
      <c r="J55" s="20">
        <v>3.39</v>
      </c>
      <c r="K55" s="20">
        <v>25.99</v>
      </c>
      <c r="L55" s="20">
        <v>20.79</v>
      </c>
      <c r="M55" s="20">
        <v>165.56</v>
      </c>
      <c r="N55" s="20">
        <v>129</v>
      </c>
      <c r="O55" s="25">
        <v>0.09</v>
      </c>
      <c r="P55" s="20">
        <f>O55/1.5</f>
        <v>0.06</v>
      </c>
      <c r="Q55" s="25">
        <v>0.06</v>
      </c>
      <c r="R55" s="20">
        <f>Q55/1.5</f>
        <v>0.04</v>
      </c>
      <c r="S55" s="25">
        <v>0</v>
      </c>
      <c r="T55" s="20">
        <f>S55/1.5</f>
        <v>0</v>
      </c>
      <c r="U55" s="25">
        <v>12.89</v>
      </c>
      <c r="V55" s="20">
        <f>U55/1.5</f>
        <v>8.593333333333334</v>
      </c>
      <c r="W55" s="25">
        <v>0.78</v>
      </c>
      <c r="X55" s="77">
        <f>W55/1.5</f>
        <v>0.52</v>
      </c>
      <c r="Y55" s="22"/>
      <c r="Z55" s="22"/>
      <c r="AA55" s="22"/>
      <c r="AB55" s="22"/>
      <c r="AC55" s="22"/>
      <c r="AD55" s="22"/>
      <c r="AE55" s="22"/>
    </row>
    <row r="56" spans="1:31" ht="23.25" customHeight="1">
      <c r="A56" s="131" t="s">
        <v>126</v>
      </c>
      <c r="B56" s="59" t="s">
        <v>138</v>
      </c>
      <c r="C56" s="60" t="s">
        <v>21</v>
      </c>
      <c r="D56" s="60" t="s">
        <v>22</v>
      </c>
      <c r="E56" s="61">
        <v>2.96</v>
      </c>
      <c r="F56" s="61">
        <v>2.22</v>
      </c>
      <c r="G56" s="63">
        <v>1.2</v>
      </c>
      <c r="H56" s="69">
        <v>0.9</v>
      </c>
      <c r="I56" s="63">
        <f>J56*200/150</f>
        <v>0</v>
      </c>
      <c r="J56" s="69">
        <v>0</v>
      </c>
      <c r="K56" s="63">
        <v>31.6</v>
      </c>
      <c r="L56" s="69">
        <v>23.7</v>
      </c>
      <c r="M56" s="63">
        <v>126</v>
      </c>
      <c r="N56" s="69">
        <v>94.5</v>
      </c>
      <c r="O56" s="62">
        <v>0.02</v>
      </c>
      <c r="P56" s="62">
        <f>O56*150/200</f>
        <v>0.015</v>
      </c>
      <c r="Q56" s="62">
        <v>0.01</v>
      </c>
      <c r="R56" s="62">
        <f>Q56*150/200</f>
        <v>0.0075</v>
      </c>
      <c r="S56" s="62">
        <v>0</v>
      </c>
      <c r="T56" s="20">
        <v>0</v>
      </c>
      <c r="U56" s="20">
        <v>12.3</v>
      </c>
      <c r="V56" s="20">
        <f>U56*150/200</f>
        <v>9.225</v>
      </c>
      <c r="W56" s="39">
        <v>2</v>
      </c>
      <c r="X56" s="77">
        <f>W56*150/200</f>
        <v>1.5</v>
      </c>
      <c r="Y56" s="22"/>
      <c r="Z56" s="22"/>
      <c r="AA56" s="22"/>
      <c r="AB56" s="22"/>
      <c r="AC56" s="22"/>
      <c r="AD56" s="22"/>
      <c r="AE56" s="22"/>
    </row>
    <row r="57" spans="1:31" s="68" customFormat="1" ht="15" customHeight="1">
      <c r="A57" s="131"/>
      <c r="B57" s="59" t="s">
        <v>30</v>
      </c>
      <c r="C57" s="60" t="s">
        <v>31</v>
      </c>
      <c r="D57" s="60" t="s">
        <v>31</v>
      </c>
      <c r="E57" s="61">
        <v>1.11</v>
      </c>
      <c r="F57" s="61">
        <v>1.11</v>
      </c>
      <c r="G57" s="61">
        <v>1.6</v>
      </c>
      <c r="H57" s="61">
        <v>1.6</v>
      </c>
      <c r="I57" s="61">
        <v>0.4</v>
      </c>
      <c r="J57" s="61">
        <v>0.4</v>
      </c>
      <c r="K57" s="61">
        <v>10</v>
      </c>
      <c r="L57" s="61">
        <v>10</v>
      </c>
      <c r="M57" s="62">
        <v>54</v>
      </c>
      <c r="N57" s="62">
        <v>54</v>
      </c>
      <c r="O57" s="65">
        <v>0.04</v>
      </c>
      <c r="P57" s="66">
        <v>0.04</v>
      </c>
      <c r="Q57" s="65">
        <v>0.02</v>
      </c>
      <c r="R57" s="66">
        <v>0.02</v>
      </c>
      <c r="S57" s="65">
        <v>0</v>
      </c>
      <c r="T57" s="66">
        <v>0</v>
      </c>
      <c r="U57" s="65">
        <v>7.4</v>
      </c>
      <c r="V57" s="66">
        <v>7.4</v>
      </c>
      <c r="W57" s="65">
        <v>0.56</v>
      </c>
      <c r="X57" s="66">
        <v>0.56</v>
      </c>
      <c r="Y57" s="67"/>
      <c r="Z57" s="67"/>
      <c r="AA57" s="67"/>
      <c r="AB57" s="67"/>
      <c r="AC57" s="67"/>
      <c r="AD57" s="67"/>
      <c r="AE57" s="67"/>
    </row>
    <row r="58" spans="1:31" ht="15" customHeight="1">
      <c r="A58" s="131"/>
      <c r="B58" s="59" t="s">
        <v>32</v>
      </c>
      <c r="C58" s="60" t="s">
        <v>80</v>
      </c>
      <c r="D58" s="60" t="s">
        <v>81</v>
      </c>
      <c r="E58" s="61">
        <v>2.09</v>
      </c>
      <c r="F58" s="61">
        <v>1.83</v>
      </c>
      <c r="G58" s="61">
        <v>3.25</v>
      </c>
      <c r="H58" s="62">
        <v>2.84</v>
      </c>
      <c r="I58" s="62">
        <v>0.46</v>
      </c>
      <c r="J58" s="62">
        <f>I58*40.6/46</f>
        <v>0.406</v>
      </c>
      <c r="K58" s="62">
        <v>20.88</v>
      </c>
      <c r="L58" s="62">
        <v>18.27</v>
      </c>
      <c r="M58" s="62">
        <v>102.08</v>
      </c>
      <c r="N58" s="62">
        <v>89.32</v>
      </c>
      <c r="O58" s="63">
        <v>0.06</v>
      </c>
      <c r="P58" s="69">
        <v>0.04</v>
      </c>
      <c r="Q58" s="63">
        <v>0.04</v>
      </c>
      <c r="R58" s="69">
        <v>0.03</v>
      </c>
      <c r="S58" s="63">
        <v>0</v>
      </c>
      <c r="T58" s="62">
        <f>S58*40.6/46</f>
        <v>0</v>
      </c>
      <c r="U58" s="65">
        <v>17</v>
      </c>
      <c r="V58" s="66">
        <v>13.6</v>
      </c>
      <c r="W58" s="65">
        <v>1.15</v>
      </c>
      <c r="X58" s="66">
        <v>0.92</v>
      </c>
      <c r="Y58" s="22"/>
      <c r="Z58" s="22"/>
      <c r="AA58" s="22"/>
      <c r="AB58" s="22"/>
      <c r="AC58" s="22"/>
      <c r="AD58" s="22"/>
      <c r="AE58" s="22"/>
    </row>
    <row r="59" spans="1:32" ht="15" customHeight="1">
      <c r="A59" s="16"/>
      <c r="B59" s="17" t="s">
        <v>23</v>
      </c>
      <c r="C59" s="18"/>
      <c r="D59" s="18"/>
      <c r="E59" s="28">
        <f>SUM(E52:E58)</f>
        <v>35.7</v>
      </c>
      <c r="F59" s="28">
        <f>SUM(F52:F58)</f>
        <v>31.669999999999995</v>
      </c>
      <c r="G59" s="28">
        <f>SUM(G52:G58)-2.5</f>
        <v>18.63</v>
      </c>
      <c r="H59" s="28">
        <f>SUM(H52:H58)-2.5</f>
        <v>15.969999999999999</v>
      </c>
      <c r="I59" s="28">
        <f>SUM(I52:I58)-0</f>
        <v>25.38</v>
      </c>
      <c r="J59" s="28">
        <f>SUM(J52:J58)-3</f>
        <v>18.195999999999998</v>
      </c>
      <c r="K59" s="28">
        <f>SUM(K52:K58)+6</f>
        <v>115.28999999999999</v>
      </c>
      <c r="L59" s="28">
        <f aca="true" t="shared" si="13" ref="L59:T59">SUM(L52:L58)</f>
        <v>88.19</v>
      </c>
      <c r="M59" s="28">
        <f>SUM(M52:M58)-0</f>
        <v>754.69</v>
      </c>
      <c r="N59" s="28">
        <f>SUM(N52:N58)-51</f>
        <v>570.8699999999999</v>
      </c>
      <c r="O59" s="28">
        <f t="shared" si="13"/>
        <v>0.3733333333333333</v>
      </c>
      <c r="P59" s="28">
        <f t="shared" si="13"/>
        <v>0.2915258215962441</v>
      </c>
      <c r="Q59" s="28">
        <f t="shared" si="13"/>
        <v>0.2866666666666667</v>
      </c>
      <c r="R59" s="28">
        <f t="shared" si="13"/>
        <v>0.2357629107981221</v>
      </c>
      <c r="S59" s="28">
        <f t="shared" si="13"/>
        <v>20.200000000000003</v>
      </c>
      <c r="T59" s="28">
        <f t="shared" si="13"/>
        <v>14.63</v>
      </c>
      <c r="U59" s="28">
        <f aca="true" t="shared" si="14" ref="U59:AB59">SUM(U52:U58)</f>
        <v>182.57333333333335</v>
      </c>
      <c r="V59" s="28">
        <f t="shared" si="14"/>
        <v>158.397676056338</v>
      </c>
      <c r="W59" s="28">
        <f t="shared" si="14"/>
        <v>7.596666666666668</v>
      </c>
      <c r="X59" s="28">
        <f t="shared" si="14"/>
        <v>6.138826291079813</v>
      </c>
      <c r="Y59" s="28">
        <f t="shared" si="14"/>
        <v>0</v>
      </c>
      <c r="Z59" s="28">
        <f t="shared" si="14"/>
        <v>0</v>
      </c>
      <c r="AA59" s="28">
        <f t="shared" si="14"/>
        <v>0</v>
      </c>
      <c r="AB59" s="28">
        <f t="shared" si="14"/>
        <v>0</v>
      </c>
      <c r="AC59" s="75"/>
      <c r="AD59" s="75"/>
      <c r="AE59" s="22"/>
      <c r="AF59" s="22"/>
    </row>
    <row r="60" spans="1:32" ht="15" customHeight="1">
      <c r="A60" s="16"/>
      <c r="B60" s="90" t="s">
        <v>42</v>
      </c>
      <c r="C60" s="18"/>
      <c r="D60" s="18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9"/>
      <c r="P60" s="29"/>
      <c r="Q60" s="29"/>
      <c r="R60" s="29"/>
      <c r="S60" s="29"/>
      <c r="T60" s="29"/>
      <c r="U60" s="29"/>
      <c r="V60" s="29"/>
      <c r="W60" s="29"/>
      <c r="X60" s="79"/>
      <c r="Y60" s="22"/>
      <c r="Z60" s="37"/>
      <c r="AA60" s="37"/>
      <c r="AB60" s="37"/>
      <c r="AC60" s="22"/>
      <c r="AD60" s="22"/>
      <c r="AE60" s="22"/>
      <c r="AF60" s="22"/>
    </row>
    <row r="61" spans="1:31" ht="15" customHeight="1">
      <c r="A61" s="131" t="s">
        <v>34</v>
      </c>
      <c r="B61" s="59" t="s">
        <v>35</v>
      </c>
      <c r="C61" s="60" t="s">
        <v>26</v>
      </c>
      <c r="D61" s="60" t="s">
        <v>26</v>
      </c>
      <c r="E61" s="61">
        <v>10.36</v>
      </c>
      <c r="F61" s="61">
        <v>10.36</v>
      </c>
      <c r="G61" s="61">
        <v>5.31</v>
      </c>
      <c r="H61" s="62">
        <v>5.31</v>
      </c>
      <c r="I61" s="61">
        <v>4.5</v>
      </c>
      <c r="J61" s="62">
        <v>4.5</v>
      </c>
      <c r="K61" s="61">
        <v>8.91</v>
      </c>
      <c r="L61" s="62">
        <v>8.91</v>
      </c>
      <c r="M61" s="61">
        <v>97.38</v>
      </c>
      <c r="N61" s="62">
        <v>97.38</v>
      </c>
      <c r="O61" s="61">
        <v>0.07</v>
      </c>
      <c r="P61" s="62">
        <v>0.07</v>
      </c>
      <c r="Q61" s="61">
        <v>0.3</v>
      </c>
      <c r="R61" s="62">
        <v>0.3</v>
      </c>
      <c r="S61" s="61">
        <v>2.46</v>
      </c>
      <c r="T61" s="62">
        <v>2.46</v>
      </c>
      <c r="U61" s="61">
        <v>275.74</v>
      </c>
      <c r="V61" s="62">
        <v>275.74</v>
      </c>
      <c r="W61" s="61">
        <v>0.23</v>
      </c>
      <c r="X61" s="62">
        <v>0.23</v>
      </c>
      <c r="Y61" s="37"/>
      <c r="Z61" s="37"/>
      <c r="AA61" s="37"/>
      <c r="AB61" s="37"/>
      <c r="AC61" s="37"/>
      <c r="AD61" s="37"/>
      <c r="AE61" s="22"/>
    </row>
    <row r="62" spans="1:32" ht="15" customHeight="1">
      <c r="A62" s="16"/>
      <c r="B62" s="17" t="s">
        <v>23</v>
      </c>
      <c r="C62" s="18"/>
      <c r="D62" s="18"/>
      <c r="E62" s="28">
        <f>SUM(E61)</f>
        <v>10.36</v>
      </c>
      <c r="F62" s="28">
        <f>SUM(F61)</f>
        <v>10.36</v>
      </c>
      <c r="G62" s="28">
        <f aca="true" t="shared" si="15" ref="G62:T62">SUM(G61)</f>
        <v>5.31</v>
      </c>
      <c r="H62" s="28">
        <f t="shared" si="15"/>
        <v>5.31</v>
      </c>
      <c r="I62" s="28">
        <f t="shared" si="15"/>
        <v>4.5</v>
      </c>
      <c r="J62" s="28">
        <f t="shared" si="15"/>
        <v>4.5</v>
      </c>
      <c r="K62" s="28">
        <f t="shared" si="15"/>
        <v>8.91</v>
      </c>
      <c r="L62" s="28">
        <f t="shared" si="15"/>
        <v>8.91</v>
      </c>
      <c r="M62" s="28">
        <f t="shared" si="15"/>
        <v>97.38</v>
      </c>
      <c r="N62" s="28">
        <f t="shared" si="15"/>
        <v>97.38</v>
      </c>
      <c r="O62" s="28">
        <f t="shared" si="15"/>
        <v>0.07</v>
      </c>
      <c r="P62" s="28">
        <f t="shared" si="15"/>
        <v>0.07</v>
      </c>
      <c r="Q62" s="28">
        <f t="shared" si="15"/>
        <v>0.3</v>
      </c>
      <c r="R62" s="28">
        <f t="shared" si="15"/>
        <v>0.3</v>
      </c>
      <c r="S62" s="28">
        <f t="shared" si="15"/>
        <v>2.46</v>
      </c>
      <c r="T62" s="28">
        <f t="shared" si="15"/>
        <v>2.46</v>
      </c>
      <c r="U62" s="28">
        <f>SUM(U61)</f>
        <v>275.74</v>
      </c>
      <c r="V62" s="28">
        <f>SUM(V61)</f>
        <v>275.74</v>
      </c>
      <c r="W62" s="28">
        <f>SUM(W61)</f>
        <v>0.23</v>
      </c>
      <c r="X62" s="78">
        <f>SUM(X61)</f>
        <v>0.23</v>
      </c>
      <c r="Y62" s="75"/>
      <c r="Z62" s="75"/>
      <c r="AA62" s="75"/>
      <c r="AB62" s="75"/>
      <c r="AC62" s="75"/>
      <c r="AD62" s="75"/>
      <c r="AE62" s="22"/>
      <c r="AF62" s="22"/>
    </row>
    <row r="63" spans="1:32" ht="15" customHeight="1">
      <c r="A63" s="16"/>
      <c r="B63" s="90" t="s">
        <v>36</v>
      </c>
      <c r="C63" s="18"/>
      <c r="D63" s="18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9"/>
      <c r="P63" s="29"/>
      <c r="Q63" s="29"/>
      <c r="R63" s="29"/>
      <c r="S63" s="29"/>
      <c r="T63" s="29"/>
      <c r="U63" s="29"/>
      <c r="V63" s="29"/>
      <c r="W63" s="29"/>
      <c r="X63" s="79"/>
      <c r="Y63" s="22"/>
      <c r="Z63" s="37"/>
      <c r="AA63" s="37"/>
      <c r="AB63" s="37"/>
      <c r="AC63" s="22"/>
      <c r="AD63" s="22"/>
      <c r="AE63" s="22"/>
      <c r="AF63" s="22"/>
    </row>
    <row r="64" spans="1:33" ht="15" customHeight="1">
      <c r="A64" s="132"/>
      <c r="B64" s="17" t="s">
        <v>44</v>
      </c>
      <c r="C64" s="18" t="s">
        <v>191</v>
      </c>
      <c r="D64" s="18" t="s">
        <v>173</v>
      </c>
      <c r="E64" s="19">
        <v>10.02</v>
      </c>
      <c r="F64" s="19">
        <v>9.74</v>
      </c>
      <c r="G64" s="19">
        <v>0.56</v>
      </c>
      <c r="H64" s="20">
        <f>G64*140/144</f>
        <v>0.5444444444444445</v>
      </c>
      <c r="I64" s="19">
        <v>0</v>
      </c>
      <c r="J64" s="20">
        <v>0</v>
      </c>
      <c r="K64" s="19">
        <v>13.92</v>
      </c>
      <c r="L64" s="20">
        <f>K64*140/144</f>
        <v>13.533333333333333</v>
      </c>
      <c r="M64" s="19">
        <v>53.99</v>
      </c>
      <c r="N64" s="20">
        <f>M64*140/144</f>
        <v>52.49027777777778</v>
      </c>
      <c r="O64" s="19">
        <v>0.02</v>
      </c>
      <c r="P64" s="20">
        <v>0.02</v>
      </c>
      <c r="Q64" s="19">
        <f>R64*160/150</f>
        <v>0.05333333333333334</v>
      </c>
      <c r="R64" s="20">
        <v>0.05</v>
      </c>
      <c r="S64" s="19">
        <v>22.74</v>
      </c>
      <c r="T64" s="20">
        <f>S64*140/144</f>
        <v>22.108333333333334</v>
      </c>
      <c r="U64" s="19">
        <v>24</v>
      </c>
      <c r="V64" s="20">
        <v>24</v>
      </c>
      <c r="W64" s="19">
        <v>3.3</v>
      </c>
      <c r="X64" s="39">
        <v>3.3</v>
      </c>
      <c r="Y64" s="83"/>
      <c r="Z64" s="37"/>
      <c r="AA64" s="37"/>
      <c r="AB64" s="37"/>
      <c r="AC64" s="22"/>
      <c r="AD64" s="22"/>
      <c r="AE64" s="22"/>
      <c r="AF64" s="22"/>
      <c r="AG64" s="22"/>
    </row>
    <row r="65" spans="1:31" ht="26.25" customHeight="1">
      <c r="A65" s="138" t="s">
        <v>143</v>
      </c>
      <c r="B65" s="59" t="s">
        <v>144</v>
      </c>
      <c r="C65" s="60" t="s">
        <v>145</v>
      </c>
      <c r="D65" s="60" t="s">
        <v>67</v>
      </c>
      <c r="E65" s="61">
        <v>49.32</v>
      </c>
      <c r="F65" s="61">
        <v>33.78</v>
      </c>
      <c r="G65" s="61">
        <f>H65*150/100</f>
        <v>22.89</v>
      </c>
      <c r="H65" s="62">
        <v>15.26</v>
      </c>
      <c r="I65" s="61">
        <f>J65*150/100</f>
        <v>15.570000000000002</v>
      </c>
      <c r="J65" s="62">
        <v>10.38</v>
      </c>
      <c r="K65" s="61">
        <f>L65*150/100</f>
        <v>41.055</v>
      </c>
      <c r="L65" s="62">
        <v>27.37</v>
      </c>
      <c r="M65" s="61">
        <f>N65*150/100</f>
        <v>396</v>
      </c>
      <c r="N65" s="62">
        <v>264</v>
      </c>
      <c r="O65" s="61">
        <f>P65*150/100</f>
        <v>0.10500000000000002</v>
      </c>
      <c r="P65" s="62">
        <v>0.07</v>
      </c>
      <c r="Q65" s="61">
        <f>R65*150/100</f>
        <v>0.435</v>
      </c>
      <c r="R65" s="62">
        <v>0.29</v>
      </c>
      <c r="S65" s="61">
        <f>T65*150/100</f>
        <v>0.765</v>
      </c>
      <c r="T65" s="62">
        <v>0.51</v>
      </c>
      <c r="U65" s="61">
        <f>V65*150/100</f>
        <v>211.92</v>
      </c>
      <c r="V65" s="62">
        <v>141.28</v>
      </c>
      <c r="W65" s="61">
        <f>X65*150/100</f>
        <v>1.425</v>
      </c>
      <c r="X65" s="62">
        <v>0.95</v>
      </c>
      <c r="Y65" s="32"/>
      <c r="Z65" s="37"/>
      <c r="AA65" s="37"/>
      <c r="AB65" s="37"/>
      <c r="AC65" s="37"/>
      <c r="AD65" s="22"/>
      <c r="AE65" s="22"/>
    </row>
    <row r="66" spans="1:31" ht="15" customHeight="1">
      <c r="A66" s="132" t="s">
        <v>97</v>
      </c>
      <c r="B66" s="23" t="s">
        <v>98</v>
      </c>
      <c r="C66" s="18" t="s">
        <v>21</v>
      </c>
      <c r="D66" s="18" t="s">
        <v>22</v>
      </c>
      <c r="E66" s="19">
        <v>0.41</v>
      </c>
      <c r="F66" s="19">
        <v>0.3</v>
      </c>
      <c r="G66" s="19">
        <v>0.18</v>
      </c>
      <c r="H66" s="20">
        <v>0.13</v>
      </c>
      <c r="I66" s="19">
        <f>J66*200/150</f>
        <v>0</v>
      </c>
      <c r="J66" s="20">
        <v>0</v>
      </c>
      <c r="K66" s="19">
        <v>4.78</v>
      </c>
      <c r="L66" s="20">
        <v>3.58</v>
      </c>
      <c r="M66" s="19">
        <v>19.9</v>
      </c>
      <c r="N66" s="20">
        <v>14.92</v>
      </c>
      <c r="O66" s="19">
        <f>P66*200/150</f>
        <v>0.013333333333333334</v>
      </c>
      <c r="P66" s="29">
        <v>0.01</v>
      </c>
      <c r="Q66" s="19">
        <f>R66*200/150</f>
        <v>0.013333333333333334</v>
      </c>
      <c r="R66" s="29">
        <v>0.01</v>
      </c>
      <c r="S66" s="19">
        <v>0.04</v>
      </c>
      <c r="T66" s="29">
        <v>0.03</v>
      </c>
      <c r="U66" s="19">
        <f>V66*200/150</f>
        <v>5.053333333333334</v>
      </c>
      <c r="V66" s="29">
        <v>3.79</v>
      </c>
      <c r="W66" s="19">
        <f>X66*200/150</f>
        <v>0.84</v>
      </c>
      <c r="X66" s="79">
        <v>0.63</v>
      </c>
      <c r="Y66" s="22"/>
      <c r="Z66" s="22"/>
      <c r="AA66" s="22"/>
      <c r="AB66" s="22"/>
      <c r="AC66" s="22"/>
      <c r="AD66" s="22"/>
      <c r="AE66" s="22"/>
    </row>
    <row r="67" spans="1:31" s="68" customFormat="1" ht="15" customHeight="1">
      <c r="A67" s="131"/>
      <c r="B67" s="59" t="s">
        <v>30</v>
      </c>
      <c r="C67" s="60" t="s">
        <v>31</v>
      </c>
      <c r="D67" s="60" t="s">
        <v>31</v>
      </c>
      <c r="E67" s="61">
        <v>1.11</v>
      </c>
      <c r="F67" s="61">
        <v>1.11</v>
      </c>
      <c r="G67" s="61">
        <v>1.6</v>
      </c>
      <c r="H67" s="61">
        <v>1.6</v>
      </c>
      <c r="I67" s="61">
        <v>0.4</v>
      </c>
      <c r="J67" s="61">
        <v>0.4</v>
      </c>
      <c r="K67" s="61">
        <v>10</v>
      </c>
      <c r="L67" s="61">
        <v>10</v>
      </c>
      <c r="M67" s="62">
        <v>54</v>
      </c>
      <c r="N67" s="62">
        <v>54</v>
      </c>
      <c r="O67" s="65">
        <v>0.04</v>
      </c>
      <c r="P67" s="66">
        <v>0.04</v>
      </c>
      <c r="Q67" s="65">
        <v>0.02</v>
      </c>
      <c r="R67" s="66">
        <v>0.02</v>
      </c>
      <c r="S67" s="65">
        <v>0</v>
      </c>
      <c r="T67" s="66">
        <v>0</v>
      </c>
      <c r="U67" s="65">
        <v>7.4</v>
      </c>
      <c r="V67" s="66">
        <v>7.4</v>
      </c>
      <c r="W67" s="65">
        <v>0.56</v>
      </c>
      <c r="X67" s="66">
        <v>0.56</v>
      </c>
      <c r="Y67" s="67"/>
      <c r="Z67" s="67"/>
      <c r="AA67" s="67"/>
      <c r="AB67" s="67"/>
      <c r="AC67" s="67"/>
      <c r="AD67" s="67"/>
      <c r="AE67" s="67"/>
    </row>
    <row r="68" spans="1:32" ht="15" customHeight="1">
      <c r="A68" s="16"/>
      <c r="B68" s="17" t="s">
        <v>23</v>
      </c>
      <c r="C68" s="18"/>
      <c r="D68" s="18"/>
      <c r="E68" s="28">
        <f>SUM(E64:E67)</f>
        <v>60.86</v>
      </c>
      <c r="F68" s="28">
        <f>SUM(F64:F67)</f>
        <v>44.93</v>
      </c>
      <c r="G68" s="28">
        <f aca="true" t="shared" si="16" ref="G68:T68">SUM(G64:G67)</f>
        <v>25.23</v>
      </c>
      <c r="H68" s="28">
        <f t="shared" si="16"/>
        <v>17.534444444444446</v>
      </c>
      <c r="I68" s="28">
        <f t="shared" si="16"/>
        <v>15.970000000000002</v>
      </c>
      <c r="J68" s="28">
        <f t="shared" si="16"/>
        <v>10.780000000000001</v>
      </c>
      <c r="K68" s="28">
        <f t="shared" si="16"/>
        <v>69.755</v>
      </c>
      <c r="L68" s="28">
        <f t="shared" si="16"/>
        <v>54.483333333333334</v>
      </c>
      <c r="M68" s="28">
        <f t="shared" si="16"/>
        <v>523.89</v>
      </c>
      <c r="N68" s="28">
        <f t="shared" si="16"/>
        <v>385.4102777777778</v>
      </c>
      <c r="O68" s="28">
        <f t="shared" si="16"/>
        <v>0.17833333333333337</v>
      </c>
      <c r="P68" s="28">
        <f t="shared" si="16"/>
        <v>0.14</v>
      </c>
      <c r="Q68" s="28">
        <f t="shared" si="16"/>
        <v>0.5216666666666667</v>
      </c>
      <c r="R68" s="28">
        <f t="shared" si="16"/>
        <v>0.37</v>
      </c>
      <c r="S68" s="28">
        <f t="shared" si="16"/>
        <v>23.544999999999998</v>
      </c>
      <c r="T68" s="28">
        <f t="shared" si="16"/>
        <v>22.648333333333337</v>
      </c>
      <c r="U68" s="28">
        <f aca="true" t="shared" si="17" ref="U68:AB68">SUM(U64:U67)</f>
        <v>248.37333333333333</v>
      </c>
      <c r="V68" s="28">
        <f t="shared" si="17"/>
        <v>176.47</v>
      </c>
      <c r="W68" s="28">
        <f t="shared" si="17"/>
        <v>6.125</v>
      </c>
      <c r="X68" s="28">
        <f t="shared" si="17"/>
        <v>5.4399999999999995</v>
      </c>
      <c r="Y68" s="28">
        <f t="shared" si="17"/>
        <v>0</v>
      </c>
      <c r="Z68" s="28">
        <f t="shared" si="17"/>
        <v>0</v>
      </c>
      <c r="AA68" s="28">
        <f t="shared" si="17"/>
        <v>0</v>
      </c>
      <c r="AB68" s="28">
        <f t="shared" si="17"/>
        <v>0</v>
      </c>
      <c r="AC68" s="75"/>
      <c r="AD68" s="22"/>
      <c r="AE68" s="22"/>
      <c r="AF68" s="22"/>
    </row>
    <row r="69" spans="1:32" ht="15" customHeight="1">
      <c r="A69" s="16"/>
      <c r="B69" s="17" t="s">
        <v>37</v>
      </c>
      <c r="C69" s="18"/>
      <c r="D69" s="18"/>
      <c r="E69" s="28">
        <f>E68+E62+E59+E50+E47</f>
        <v>128.15</v>
      </c>
      <c r="F69" s="28">
        <f>F68+F62+F59+F50+F47</f>
        <v>105.38</v>
      </c>
      <c r="G69" s="28">
        <f aca="true" t="shared" si="18" ref="G69:T69">G68+G62+G59+G50+G47</f>
        <v>59.410000000000004</v>
      </c>
      <c r="H69" s="28">
        <f t="shared" si="18"/>
        <v>47.10444444444445</v>
      </c>
      <c r="I69" s="28">
        <f t="shared" si="18"/>
        <v>59.6</v>
      </c>
      <c r="J69" s="28">
        <f t="shared" si="18"/>
        <v>45.156</v>
      </c>
      <c r="K69" s="28">
        <f t="shared" si="18"/>
        <v>248.19499999999996</v>
      </c>
      <c r="L69" s="28">
        <f t="shared" si="18"/>
        <v>197.2733333333333</v>
      </c>
      <c r="M69" s="28">
        <f t="shared" si="18"/>
        <v>1758.18</v>
      </c>
      <c r="N69" s="28">
        <f t="shared" si="18"/>
        <v>1374.8802777777778</v>
      </c>
      <c r="O69" s="28">
        <f t="shared" si="18"/>
        <v>0.8036666666666668</v>
      </c>
      <c r="P69" s="28">
        <f t="shared" si="18"/>
        <v>0.6290258215962441</v>
      </c>
      <c r="Q69" s="28">
        <f t="shared" si="18"/>
        <v>1.3963333333333334</v>
      </c>
      <c r="R69" s="28">
        <f t="shared" si="18"/>
        <v>1.120762910798122</v>
      </c>
      <c r="S69" s="28">
        <f t="shared" si="18"/>
        <v>51.675</v>
      </c>
      <c r="T69" s="28">
        <f t="shared" si="18"/>
        <v>44.78333333333334</v>
      </c>
      <c r="U69" s="28">
        <f>U68+U62+U59+U50+U47</f>
        <v>917.1186666666667</v>
      </c>
      <c r="V69" s="28">
        <f>V68+V62+V59+V50+V47</f>
        <v>772.4576760563381</v>
      </c>
      <c r="W69" s="28">
        <f>W68+W62+W59+W50+W47</f>
        <v>15.697666666666668</v>
      </c>
      <c r="X69" s="78">
        <f>X68+X62+X59+X50+X47</f>
        <v>13.043826291079814</v>
      </c>
      <c r="Y69" s="75"/>
      <c r="Z69" s="75"/>
      <c r="AA69" s="75"/>
      <c r="AB69" s="75"/>
      <c r="AC69" s="75"/>
      <c r="AD69" s="22"/>
      <c r="AE69" s="22"/>
      <c r="AF69" s="22"/>
    </row>
    <row r="70" spans="1:32" ht="15" customHeight="1">
      <c r="A70" s="16"/>
      <c r="B70" s="88" t="s">
        <v>177</v>
      </c>
      <c r="C70" s="18"/>
      <c r="D70" s="18"/>
      <c r="E70" s="28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79"/>
      <c r="Y70" s="22"/>
      <c r="Z70" s="37"/>
      <c r="AA70" s="37"/>
      <c r="AB70" s="37"/>
      <c r="AC70" s="22"/>
      <c r="AD70" s="22"/>
      <c r="AE70" s="22"/>
      <c r="AF70" s="22"/>
    </row>
    <row r="71" spans="1:32" ht="15" customHeight="1">
      <c r="A71" s="16"/>
      <c r="B71" s="90" t="s">
        <v>17</v>
      </c>
      <c r="C71" s="18"/>
      <c r="D71" s="18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79"/>
      <c r="Y71" s="22"/>
      <c r="Z71" s="37"/>
      <c r="AA71" s="37"/>
      <c r="AB71" s="37"/>
      <c r="AC71" s="22"/>
      <c r="AD71" s="22"/>
      <c r="AE71" s="22"/>
      <c r="AF71" s="22"/>
    </row>
    <row r="72" spans="1:30" s="32" customFormat="1" ht="14.25" customHeight="1">
      <c r="A72" s="131" t="s">
        <v>69</v>
      </c>
      <c r="B72" s="59" t="s">
        <v>127</v>
      </c>
      <c r="C72" s="60" t="s">
        <v>128</v>
      </c>
      <c r="D72" s="60" t="s">
        <v>128</v>
      </c>
      <c r="E72" s="61">
        <v>6.88</v>
      </c>
      <c r="F72" s="61">
        <v>6.88</v>
      </c>
      <c r="G72" s="61">
        <v>2.93</v>
      </c>
      <c r="H72" s="62">
        <v>2.93</v>
      </c>
      <c r="I72" s="61">
        <v>6.05</v>
      </c>
      <c r="J72" s="62">
        <v>6.05</v>
      </c>
      <c r="K72" s="61">
        <v>10.4</v>
      </c>
      <c r="L72" s="62">
        <v>10.4</v>
      </c>
      <c r="M72" s="61">
        <v>107.77</v>
      </c>
      <c r="N72" s="62">
        <v>107.77</v>
      </c>
      <c r="O72" s="62">
        <v>0.08</v>
      </c>
      <c r="P72" s="62">
        <f>O72*40/60</f>
        <v>0.05333333333333334</v>
      </c>
      <c r="Q72" s="62">
        <v>0.06</v>
      </c>
      <c r="R72" s="62">
        <f>Q72*40/60</f>
        <v>0.04</v>
      </c>
      <c r="S72" s="61">
        <v>0.14</v>
      </c>
      <c r="T72" s="62">
        <v>0.14</v>
      </c>
      <c r="U72" s="62">
        <v>70.8</v>
      </c>
      <c r="V72" s="62">
        <f>U72*40/60</f>
        <v>47.2</v>
      </c>
      <c r="W72" s="62">
        <v>0.81</v>
      </c>
      <c r="X72" s="84">
        <f>W72*40/60</f>
        <v>0.5400000000000001</v>
      </c>
      <c r="Y72" s="82"/>
      <c r="Z72" s="37"/>
      <c r="AA72" s="37"/>
      <c r="AB72" s="37"/>
      <c r="AC72" s="37"/>
      <c r="AD72" s="37"/>
    </row>
    <row r="73" spans="1:31" ht="24.75" customHeight="1">
      <c r="A73" s="132" t="s">
        <v>45</v>
      </c>
      <c r="B73" s="17" t="s">
        <v>116</v>
      </c>
      <c r="C73" s="72" t="s">
        <v>99</v>
      </c>
      <c r="D73" s="72" t="s">
        <v>100</v>
      </c>
      <c r="E73" s="34">
        <v>12</v>
      </c>
      <c r="F73" s="34">
        <v>9.38</v>
      </c>
      <c r="G73" s="34">
        <v>3.1</v>
      </c>
      <c r="H73" s="34">
        <v>2.4</v>
      </c>
      <c r="I73" s="34">
        <v>5</v>
      </c>
      <c r="J73" s="34">
        <v>3.8</v>
      </c>
      <c r="K73" s="34">
        <v>21.1</v>
      </c>
      <c r="L73" s="34">
        <v>16</v>
      </c>
      <c r="M73" s="34">
        <v>140</v>
      </c>
      <c r="N73" s="34">
        <v>107.8</v>
      </c>
      <c r="O73" s="121">
        <v>0.1</v>
      </c>
      <c r="P73" s="128">
        <f>O73*150/200</f>
        <v>0.075</v>
      </c>
      <c r="Q73" s="121">
        <v>0.25</v>
      </c>
      <c r="R73" s="128">
        <f>Q73*150/200</f>
        <v>0.1875</v>
      </c>
      <c r="S73" s="121">
        <v>0</v>
      </c>
      <c r="T73" s="34">
        <f>S73*153/203</f>
        <v>0</v>
      </c>
      <c r="U73" s="25">
        <v>175.2</v>
      </c>
      <c r="V73" s="20">
        <v>164.9</v>
      </c>
      <c r="W73" s="25">
        <v>0.9</v>
      </c>
      <c r="X73" s="77">
        <f>W73*150/200</f>
        <v>0.675</v>
      </c>
      <c r="Y73" s="22"/>
      <c r="Z73" s="22"/>
      <c r="AA73" s="22"/>
      <c r="AB73" s="22"/>
      <c r="AC73" s="22"/>
      <c r="AD73" s="22"/>
      <c r="AE73" s="22"/>
    </row>
    <row r="74" spans="1:31" ht="15" customHeight="1">
      <c r="A74" s="131" t="s">
        <v>46</v>
      </c>
      <c r="B74" s="59" t="s">
        <v>47</v>
      </c>
      <c r="C74" s="60" t="s">
        <v>26</v>
      </c>
      <c r="D74" s="60" t="s">
        <v>22</v>
      </c>
      <c r="E74" s="61">
        <v>5.85</v>
      </c>
      <c r="F74" s="61">
        <v>4.87</v>
      </c>
      <c r="G74" s="63">
        <v>2.95</v>
      </c>
      <c r="H74" s="63">
        <v>2.46</v>
      </c>
      <c r="I74" s="63">
        <v>3.24</v>
      </c>
      <c r="J74" s="63">
        <v>2.7</v>
      </c>
      <c r="K74" s="63">
        <v>22.82</v>
      </c>
      <c r="L74" s="63">
        <v>19.02</v>
      </c>
      <c r="M74" s="63">
        <v>132.26</v>
      </c>
      <c r="N74" s="62">
        <v>110.22</v>
      </c>
      <c r="O74" s="63">
        <f>P74*180/150</f>
        <v>0.024</v>
      </c>
      <c r="P74" s="69">
        <v>0.02</v>
      </c>
      <c r="Q74" s="63">
        <f>R74*180/150</f>
        <v>0.12</v>
      </c>
      <c r="R74" s="69">
        <v>0.1</v>
      </c>
      <c r="S74" s="63">
        <v>1.43</v>
      </c>
      <c r="T74" s="69">
        <v>1.2</v>
      </c>
      <c r="U74" s="63">
        <f>V74*180/150</f>
        <v>109.58399999999999</v>
      </c>
      <c r="V74" s="69">
        <v>91.32</v>
      </c>
      <c r="W74" s="63">
        <f>X74*180/150</f>
        <v>0.36</v>
      </c>
      <c r="X74" s="69">
        <v>0.3</v>
      </c>
      <c r="Y74" s="22"/>
      <c r="Z74" s="22"/>
      <c r="AA74" s="22"/>
      <c r="AB74" s="22"/>
      <c r="AC74" s="22"/>
      <c r="AD74" s="22"/>
      <c r="AE74" s="22"/>
    </row>
    <row r="75" spans="1:32" ht="15" customHeight="1">
      <c r="A75" s="16"/>
      <c r="B75" s="17" t="s">
        <v>23</v>
      </c>
      <c r="C75" s="18"/>
      <c r="D75" s="18"/>
      <c r="E75" s="28">
        <f>SUM(E72:E74)</f>
        <v>24.729999999999997</v>
      </c>
      <c r="F75" s="28">
        <f>SUM(F72:F74)</f>
        <v>21.130000000000003</v>
      </c>
      <c r="G75" s="28">
        <f aca="true" t="shared" si="19" ref="G75:T75">SUM(G72:G74)</f>
        <v>8.98</v>
      </c>
      <c r="H75" s="28">
        <f t="shared" si="19"/>
        <v>7.79</v>
      </c>
      <c r="I75" s="28">
        <f t="shared" si="19"/>
        <v>14.290000000000001</v>
      </c>
      <c r="J75" s="28">
        <f t="shared" si="19"/>
        <v>12.55</v>
      </c>
      <c r="K75" s="28">
        <f t="shared" si="19"/>
        <v>54.32</v>
      </c>
      <c r="L75" s="28">
        <f t="shared" si="19"/>
        <v>45.42</v>
      </c>
      <c r="M75" s="28">
        <f t="shared" si="19"/>
        <v>380.03</v>
      </c>
      <c r="N75" s="28">
        <f t="shared" si="19"/>
        <v>325.78999999999996</v>
      </c>
      <c r="O75" s="28">
        <f t="shared" si="19"/>
        <v>0.204</v>
      </c>
      <c r="P75" s="28">
        <f t="shared" si="19"/>
        <v>0.14833333333333332</v>
      </c>
      <c r="Q75" s="28">
        <f t="shared" si="19"/>
        <v>0.43</v>
      </c>
      <c r="R75" s="28">
        <f t="shared" si="19"/>
        <v>0.3275</v>
      </c>
      <c r="S75" s="28">
        <f t="shared" si="19"/>
        <v>1.5699999999999998</v>
      </c>
      <c r="T75" s="28">
        <f t="shared" si="19"/>
        <v>1.3399999999999999</v>
      </c>
      <c r="U75" s="28">
        <f aca="true" t="shared" si="20" ref="U75:AB75">SUM(U72:U74)</f>
        <v>355.584</v>
      </c>
      <c r="V75" s="28">
        <f t="shared" si="20"/>
        <v>303.42</v>
      </c>
      <c r="W75" s="28">
        <f t="shared" si="20"/>
        <v>2.07</v>
      </c>
      <c r="X75" s="28">
        <f t="shared" si="20"/>
        <v>1.5150000000000003</v>
      </c>
      <c r="Y75" s="28">
        <f t="shared" si="20"/>
        <v>0</v>
      </c>
      <c r="Z75" s="28">
        <f t="shared" si="20"/>
        <v>0</v>
      </c>
      <c r="AA75" s="28">
        <f t="shared" si="20"/>
        <v>0</v>
      </c>
      <c r="AB75" s="28">
        <f t="shared" si="20"/>
        <v>0</v>
      </c>
      <c r="AC75" s="75"/>
      <c r="AD75" s="75"/>
      <c r="AE75" s="75"/>
      <c r="AF75" s="22"/>
    </row>
    <row r="76" spans="1:32" ht="15" customHeight="1">
      <c r="A76" s="16"/>
      <c r="B76" s="90" t="s">
        <v>41</v>
      </c>
      <c r="C76" s="18"/>
      <c r="D76" s="18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9"/>
      <c r="P76" s="29"/>
      <c r="Q76" s="29"/>
      <c r="R76" s="29"/>
      <c r="S76" s="29"/>
      <c r="T76" s="29"/>
      <c r="U76" s="29"/>
      <c r="V76" s="29"/>
      <c r="W76" s="29"/>
      <c r="X76" s="79"/>
      <c r="Y76" s="22"/>
      <c r="Z76" s="37"/>
      <c r="AA76" s="37"/>
      <c r="AB76" s="37"/>
      <c r="AC76" s="22"/>
      <c r="AD76" s="22"/>
      <c r="AE76" s="22"/>
      <c r="AF76" s="22"/>
    </row>
    <row r="77" spans="1:30" ht="15" customHeight="1">
      <c r="A77" s="132" t="s">
        <v>43</v>
      </c>
      <c r="B77" s="17" t="s">
        <v>74</v>
      </c>
      <c r="C77" s="18" t="s">
        <v>147</v>
      </c>
      <c r="D77" s="18" t="s">
        <v>173</v>
      </c>
      <c r="E77" s="19">
        <v>14</v>
      </c>
      <c r="F77" s="19">
        <v>11.53</v>
      </c>
      <c r="G77" s="25">
        <f>H77*170/140</f>
        <v>5.1</v>
      </c>
      <c r="H77" s="25">
        <v>4.2</v>
      </c>
      <c r="I77" s="25">
        <f>J77*170/140</f>
        <v>4.25</v>
      </c>
      <c r="J77" s="25">
        <v>3.5</v>
      </c>
      <c r="K77" s="25">
        <f>L77*170/140</f>
        <v>6.799999999999999</v>
      </c>
      <c r="L77" s="25">
        <v>5.6</v>
      </c>
      <c r="M77" s="25">
        <f>N77*170/140</f>
        <v>85.85</v>
      </c>
      <c r="N77" s="25">
        <v>70.7</v>
      </c>
      <c r="O77" s="25">
        <f>P77*180/150</f>
        <v>0.06</v>
      </c>
      <c r="P77" s="25">
        <v>0.05</v>
      </c>
      <c r="Q77" s="25">
        <f>R77*180/150</f>
        <v>0.31200000000000006</v>
      </c>
      <c r="R77" s="25">
        <v>0.26</v>
      </c>
      <c r="S77" s="25">
        <f>T77*170/140</f>
        <v>3.3999999999999995</v>
      </c>
      <c r="T77" s="25">
        <v>2.8</v>
      </c>
      <c r="U77" s="61">
        <v>235.31</v>
      </c>
      <c r="V77" s="62">
        <f>U77*150/180</f>
        <v>196.09166666666667</v>
      </c>
      <c r="W77" s="61">
        <v>0.19</v>
      </c>
      <c r="X77" s="84">
        <f>W77*150/180</f>
        <v>0.15833333333333333</v>
      </c>
      <c r="Y77" s="82"/>
      <c r="Z77" s="37"/>
      <c r="AA77" s="37"/>
      <c r="AB77" s="37"/>
      <c r="AC77" s="37"/>
      <c r="AD77" s="37"/>
    </row>
    <row r="78" spans="1:32" ht="15" customHeight="1">
      <c r="A78" s="16"/>
      <c r="B78" s="17" t="s">
        <v>23</v>
      </c>
      <c r="C78" s="18"/>
      <c r="D78" s="18"/>
      <c r="E78" s="28">
        <f>SUM(E77)</f>
        <v>14</v>
      </c>
      <c r="F78" s="28">
        <f>SUM(F77)</f>
        <v>11.53</v>
      </c>
      <c r="G78" s="28">
        <f aca="true" t="shared" si="21" ref="G78:T78">SUM(G77)</f>
        <v>5.1</v>
      </c>
      <c r="H78" s="28">
        <f t="shared" si="21"/>
        <v>4.2</v>
      </c>
      <c r="I78" s="28">
        <f t="shared" si="21"/>
        <v>4.25</v>
      </c>
      <c r="J78" s="28">
        <f t="shared" si="21"/>
        <v>3.5</v>
      </c>
      <c r="K78" s="28">
        <f t="shared" si="21"/>
        <v>6.799999999999999</v>
      </c>
      <c r="L78" s="28">
        <f t="shared" si="21"/>
        <v>5.6</v>
      </c>
      <c r="M78" s="28">
        <f t="shared" si="21"/>
        <v>85.85</v>
      </c>
      <c r="N78" s="28">
        <f t="shared" si="21"/>
        <v>70.7</v>
      </c>
      <c r="O78" s="28">
        <f t="shared" si="21"/>
        <v>0.06</v>
      </c>
      <c r="P78" s="28">
        <f t="shared" si="21"/>
        <v>0.05</v>
      </c>
      <c r="Q78" s="28">
        <f t="shared" si="21"/>
        <v>0.31200000000000006</v>
      </c>
      <c r="R78" s="28">
        <f t="shared" si="21"/>
        <v>0.26</v>
      </c>
      <c r="S78" s="28">
        <f t="shared" si="21"/>
        <v>3.3999999999999995</v>
      </c>
      <c r="T78" s="28">
        <f t="shared" si="21"/>
        <v>2.8</v>
      </c>
      <c r="U78" s="28">
        <f>SUM(U77)</f>
        <v>235.31</v>
      </c>
      <c r="V78" s="28">
        <f>SUM(V77)</f>
        <v>196.09166666666667</v>
      </c>
      <c r="W78" s="28">
        <f>SUM(W77)</f>
        <v>0.19</v>
      </c>
      <c r="X78" s="78">
        <f>SUM(X77)</f>
        <v>0.15833333333333333</v>
      </c>
      <c r="Y78" s="75"/>
      <c r="Z78" s="75"/>
      <c r="AA78" s="75"/>
      <c r="AB78" s="75"/>
      <c r="AC78" s="75"/>
      <c r="AD78" s="75"/>
      <c r="AE78" s="75"/>
      <c r="AF78" s="22"/>
    </row>
    <row r="79" spans="1:32" ht="15" customHeight="1">
      <c r="A79" s="16"/>
      <c r="B79" s="90" t="s">
        <v>27</v>
      </c>
      <c r="C79" s="18"/>
      <c r="D79" s="18"/>
      <c r="E79" s="33"/>
      <c r="F79" s="19"/>
      <c r="G79" s="19"/>
      <c r="H79" s="20"/>
      <c r="I79" s="20"/>
      <c r="J79" s="20"/>
      <c r="K79" s="20"/>
      <c r="L79" s="20"/>
      <c r="M79" s="20"/>
      <c r="N79" s="20"/>
      <c r="O79" s="29"/>
      <c r="P79" s="29"/>
      <c r="Q79" s="29"/>
      <c r="R79" s="29"/>
      <c r="S79" s="29"/>
      <c r="T79" s="29"/>
      <c r="U79" s="29"/>
      <c r="V79" s="29"/>
      <c r="W79" s="29"/>
      <c r="X79" s="79"/>
      <c r="Y79" s="22"/>
      <c r="Z79" s="37"/>
      <c r="AA79" s="37"/>
      <c r="AB79" s="37"/>
      <c r="AC79" s="22"/>
      <c r="AD79" s="22"/>
      <c r="AE79" s="22"/>
      <c r="AF79" s="22"/>
    </row>
    <row r="80" spans="1:29" ht="15" customHeight="1">
      <c r="A80" s="132" t="s">
        <v>85</v>
      </c>
      <c r="B80" s="38" t="s">
        <v>125</v>
      </c>
      <c r="C80" s="18" t="s">
        <v>29</v>
      </c>
      <c r="D80" s="18" t="s">
        <v>28</v>
      </c>
      <c r="E80" s="19">
        <v>2.13</v>
      </c>
      <c r="F80" s="19">
        <v>1.7</v>
      </c>
      <c r="G80" s="19">
        <f>H80*75/60</f>
        <v>0.75</v>
      </c>
      <c r="H80" s="20">
        <v>0.6</v>
      </c>
      <c r="I80" s="19">
        <f>J80*75/60</f>
        <v>3.75</v>
      </c>
      <c r="J80" s="20">
        <v>3</v>
      </c>
      <c r="K80" s="19">
        <f>L80*75/60</f>
        <v>7.65</v>
      </c>
      <c r="L80" s="20">
        <v>6.12</v>
      </c>
      <c r="M80" s="19">
        <f>N80*75/60</f>
        <v>67.5</v>
      </c>
      <c r="N80" s="20">
        <v>54</v>
      </c>
      <c r="O80" s="20"/>
      <c r="P80" s="20"/>
      <c r="Q80" s="20"/>
      <c r="R80" s="20"/>
      <c r="S80" s="19">
        <f>T80*75/60</f>
        <v>16.8</v>
      </c>
      <c r="T80" s="20">
        <v>13.44</v>
      </c>
      <c r="U80" s="20">
        <v>13.18</v>
      </c>
      <c r="V80" s="20">
        <f>U80*45/60</f>
        <v>9.885</v>
      </c>
      <c r="W80" s="20">
        <v>0.62</v>
      </c>
      <c r="X80" s="20">
        <f>W80*45/60</f>
        <v>0.46499999999999997</v>
      </c>
      <c r="Z80" s="22"/>
      <c r="AA80" s="22"/>
      <c r="AB80" s="22"/>
      <c r="AC80" s="22"/>
    </row>
    <row r="81" spans="1:30" ht="38.25" customHeight="1">
      <c r="A81" s="143" t="s">
        <v>119</v>
      </c>
      <c r="B81" s="23" t="s">
        <v>133</v>
      </c>
      <c r="C81" s="18" t="s">
        <v>131</v>
      </c>
      <c r="D81" s="18" t="s">
        <v>132</v>
      </c>
      <c r="E81" s="34">
        <v>6.24</v>
      </c>
      <c r="F81" s="19">
        <v>5.13</v>
      </c>
      <c r="G81" s="25">
        <v>1.88</v>
      </c>
      <c r="H81" s="25">
        <v>1.74</v>
      </c>
      <c r="I81" s="25">
        <v>5.66</v>
      </c>
      <c r="J81" s="25">
        <v>4.91</v>
      </c>
      <c r="K81" s="25">
        <v>10.8</v>
      </c>
      <c r="L81" s="25">
        <v>10.64</v>
      </c>
      <c r="M81" s="25">
        <v>101.66</v>
      </c>
      <c r="N81" s="25">
        <v>93.71</v>
      </c>
      <c r="O81" s="29">
        <v>0.09</v>
      </c>
      <c r="P81" s="29">
        <v>0.07</v>
      </c>
      <c r="Q81" s="29">
        <v>0.1</v>
      </c>
      <c r="R81" s="29">
        <v>0.08</v>
      </c>
      <c r="S81" s="29">
        <v>8.23</v>
      </c>
      <c r="T81" s="25">
        <v>8.21</v>
      </c>
      <c r="U81" s="25">
        <v>17.7</v>
      </c>
      <c r="V81" s="26">
        <v>18.09</v>
      </c>
      <c r="W81" s="25">
        <v>1.11</v>
      </c>
      <c r="X81" s="108">
        <v>1.07</v>
      </c>
      <c r="Y81" s="83"/>
      <c r="Z81" s="22"/>
      <c r="AA81" s="22"/>
      <c r="AB81" s="22"/>
      <c r="AC81" s="22"/>
      <c r="AD81" s="22"/>
    </row>
    <row r="82" spans="1:31" s="31" customFormat="1" ht="15" customHeight="1">
      <c r="A82" s="131" t="s">
        <v>94</v>
      </c>
      <c r="B82" s="144" t="s">
        <v>95</v>
      </c>
      <c r="C82" s="111" t="s">
        <v>92</v>
      </c>
      <c r="D82" s="111" t="s">
        <v>92</v>
      </c>
      <c r="E82" s="33">
        <v>34.75</v>
      </c>
      <c r="F82" s="33">
        <v>34.75</v>
      </c>
      <c r="G82" s="63">
        <v>13.9</v>
      </c>
      <c r="H82" s="63">
        <v>13.9</v>
      </c>
      <c r="I82" s="63">
        <v>6.5</v>
      </c>
      <c r="J82" s="63">
        <v>6.5</v>
      </c>
      <c r="K82" s="63">
        <v>4</v>
      </c>
      <c r="L82" s="63">
        <v>4</v>
      </c>
      <c r="M82" s="63">
        <v>132</v>
      </c>
      <c r="N82" s="106">
        <v>132</v>
      </c>
      <c r="O82" s="62">
        <v>0.06</v>
      </c>
      <c r="P82" s="62">
        <v>0</v>
      </c>
      <c r="Q82" s="62">
        <v>0.12</v>
      </c>
      <c r="R82" s="62">
        <v>0</v>
      </c>
      <c r="S82" s="62">
        <v>0.06</v>
      </c>
      <c r="T82" s="62">
        <v>0.06</v>
      </c>
      <c r="U82" s="62">
        <v>14.33</v>
      </c>
      <c r="V82" s="62">
        <v>0</v>
      </c>
      <c r="W82" s="84">
        <v>2.25</v>
      </c>
      <c r="X82" s="62">
        <v>0</v>
      </c>
      <c r="Y82" s="36"/>
      <c r="Z82" s="105"/>
      <c r="AA82" s="105"/>
      <c r="AB82" s="105"/>
      <c r="AC82" s="105"/>
      <c r="AD82" s="30"/>
      <c r="AE82" s="30"/>
    </row>
    <row r="83" spans="1:31" ht="15.75" customHeight="1">
      <c r="A83" s="132" t="s">
        <v>18</v>
      </c>
      <c r="B83" s="17" t="s">
        <v>107</v>
      </c>
      <c r="C83" s="18" t="s">
        <v>61</v>
      </c>
      <c r="D83" s="18" t="s">
        <v>89</v>
      </c>
      <c r="E83" s="19">
        <v>3.05</v>
      </c>
      <c r="F83" s="19">
        <v>2.35</v>
      </c>
      <c r="G83" s="20">
        <f>H83*130/100</f>
        <v>3.9</v>
      </c>
      <c r="H83" s="20">
        <v>3</v>
      </c>
      <c r="I83" s="20">
        <f>J83*130/100</f>
        <v>5.85</v>
      </c>
      <c r="J83" s="20">
        <v>4.5</v>
      </c>
      <c r="K83" s="20">
        <f>L83*130/100</f>
        <v>19.37</v>
      </c>
      <c r="L83" s="20">
        <v>14.9</v>
      </c>
      <c r="M83" s="20">
        <f>N83*130/100</f>
        <v>145.73</v>
      </c>
      <c r="N83" s="20">
        <v>112.1</v>
      </c>
      <c r="O83" s="20">
        <f>P83*130/100</f>
        <v>0.039</v>
      </c>
      <c r="P83" s="20">
        <v>0.03</v>
      </c>
      <c r="Q83" s="20">
        <f>R83*130/100</f>
        <v>0.013000000000000001</v>
      </c>
      <c r="R83" s="20">
        <v>0.01</v>
      </c>
      <c r="S83" s="20">
        <f>T83*130/100</f>
        <v>0</v>
      </c>
      <c r="T83" s="20">
        <v>0</v>
      </c>
      <c r="U83" s="20">
        <f>V83*130/100</f>
        <v>11.973000000000003</v>
      </c>
      <c r="V83" s="20">
        <v>9.21</v>
      </c>
      <c r="W83" s="20">
        <f>X83*130/100</f>
        <v>0.9620000000000001</v>
      </c>
      <c r="X83" s="20">
        <v>0.74</v>
      </c>
      <c r="Y83" s="113"/>
      <c r="Z83" s="114"/>
      <c r="AA83" s="114"/>
      <c r="AB83" s="114"/>
      <c r="AC83" s="22"/>
      <c r="AD83" s="22"/>
      <c r="AE83" s="22"/>
    </row>
    <row r="84" spans="1:31" ht="15.75" customHeight="1">
      <c r="A84" s="132" t="s">
        <v>184</v>
      </c>
      <c r="B84" s="17" t="s">
        <v>185</v>
      </c>
      <c r="C84" s="18" t="s">
        <v>21</v>
      </c>
      <c r="D84" s="18" t="s">
        <v>22</v>
      </c>
      <c r="E84" s="19">
        <v>3.5</v>
      </c>
      <c r="F84" s="19">
        <v>2.63</v>
      </c>
      <c r="G84" s="25">
        <v>0.12</v>
      </c>
      <c r="H84" s="26">
        <f>G84*150/200</f>
        <v>0.09</v>
      </c>
      <c r="I84" s="25">
        <v>0.04</v>
      </c>
      <c r="J84" s="26">
        <f>I84*150/200</f>
        <v>0.03</v>
      </c>
      <c r="K84" s="25">
        <v>21.42</v>
      </c>
      <c r="L84" s="26">
        <f>K84*150/200</f>
        <v>16.065</v>
      </c>
      <c r="M84" s="25">
        <v>86.44</v>
      </c>
      <c r="N84" s="26">
        <f>M84*150/200</f>
        <v>64.83</v>
      </c>
      <c r="O84" s="20">
        <v>0.02</v>
      </c>
      <c r="P84" s="20">
        <f>O84*150/200</f>
        <v>0.015</v>
      </c>
      <c r="Q84" s="20">
        <v>0.01</v>
      </c>
      <c r="R84" s="20">
        <f>Q84*150/200</f>
        <v>0.0075</v>
      </c>
      <c r="S84" s="20">
        <v>5</v>
      </c>
      <c r="T84" s="26">
        <f>S84*150/200</f>
        <v>3.75</v>
      </c>
      <c r="U84" s="29">
        <v>25.91</v>
      </c>
      <c r="V84" s="20">
        <f>U84*150/200</f>
        <v>19.4325</v>
      </c>
      <c r="W84" s="29">
        <v>0.65</v>
      </c>
      <c r="X84" s="77">
        <f>W84*150/200</f>
        <v>0.4875</v>
      </c>
      <c r="Y84" s="22"/>
      <c r="Z84" s="22"/>
      <c r="AA84" s="22"/>
      <c r="AB84" s="22"/>
      <c r="AC84" s="22"/>
      <c r="AD84" s="22"/>
      <c r="AE84" s="22"/>
    </row>
    <row r="85" spans="1:31" s="68" customFormat="1" ht="15" customHeight="1">
      <c r="A85" s="131"/>
      <c r="B85" s="59" t="s">
        <v>30</v>
      </c>
      <c r="C85" s="60" t="s">
        <v>31</v>
      </c>
      <c r="D85" s="60" t="s">
        <v>31</v>
      </c>
      <c r="E85" s="61">
        <v>1.11</v>
      </c>
      <c r="F85" s="61">
        <v>1.11</v>
      </c>
      <c r="G85" s="61">
        <v>1.6</v>
      </c>
      <c r="H85" s="61">
        <v>1.6</v>
      </c>
      <c r="I85" s="61">
        <v>0.4</v>
      </c>
      <c r="J85" s="61">
        <v>0.4</v>
      </c>
      <c r="K85" s="61">
        <v>10</v>
      </c>
      <c r="L85" s="61">
        <v>10</v>
      </c>
      <c r="M85" s="62">
        <v>54</v>
      </c>
      <c r="N85" s="62">
        <v>54</v>
      </c>
      <c r="O85" s="65">
        <v>0.04</v>
      </c>
      <c r="P85" s="66">
        <v>0.04</v>
      </c>
      <c r="Q85" s="65">
        <v>0.02</v>
      </c>
      <c r="R85" s="66">
        <v>0.02</v>
      </c>
      <c r="S85" s="65">
        <v>0</v>
      </c>
      <c r="T85" s="66">
        <v>0</v>
      </c>
      <c r="U85" s="65">
        <v>7.4</v>
      </c>
      <c r="V85" s="66">
        <v>7.4</v>
      </c>
      <c r="W85" s="65">
        <v>0.56</v>
      </c>
      <c r="X85" s="66">
        <v>0.56</v>
      </c>
      <c r="Y85" s="67"/>
      <c r="Z85" s="67"/>
      <c r="AA85" s="67"/>
      <c r="AB85" s="67"/>
      <c r="AC85" s="67"/>
      <c r="AD85" s="67"/>
      <c r="AE85" s="67"/>
    </row>
    <row r="86" spans="1:31" ht="15" customHeight="1">
      <c r="A86" s="131"/>
      <c r="B86" s="59" t="s">
        <v>32</v>
      </c>
      <c r="C86" s="60" t="s">
        <v>80</v>
      </c>
      <c r="D86" s="60" t="s">
        <v>81</v>
      </c>
      <c r="E86" s="61">
        <v>2.09</v>
      </c>
      <c r="F86" s="61">
        <v>1.83</v>
      </c>
      <c r="G86" s="61">
        <v>3.25</v>
      </c>
      <c r="H86" s="62">
        <v>2.84</v>
      </c>
      <c r="I86" s="62">
        <v>0.46</v>
      </c>
      <c r="J86" s="62">
        <f>I86*40.6/46</f>
        <v>0.406</v>
      </c>
      <c r="K86" s="62">
        <v>20.88</v>
      </c>
      <c r="L86" s="62">
        <v>18.27</v>
      </c>
      <c r="M86" s="62">
        <v>102.08</v>
      </c>
      <c r="N86" s="62">
        <v>89.32</v>
      </c>
      <c r="O86" s="63">
        <v>0.06</v>
      </c>
      <c r="P86" s="69">
        <v>0.04</v>
      </c>
      <c r="Q86" s="63">
        <v>0.04</v>
      </c>
      <c r="R86" s="69">
        <v>0.03</v>
      </c>
      <c r="S86" s="63">
        <v>0</v>
      </c>
      <c r="T86" s="62">
        <f>S86*40.6/46</f>
        <v>0</v>
      </c>
      <c r="U86" s="65">
        <v>17</v>
      </c>
      <c r="V86" s="66">
        <v>13.6</v>
      </c>
      <c r="W86" s="65">
        <v>1.15</v>
      </c>
      <c r="X86" s="66">
        <v>0.92</v>
      </c>
      <c r="Y86" s="22"/>
      <c r="Z86" s="22"/>
      <c r="AA86" s="22"/>
      <c r="AB86" s="22"/>
      <c r="AC86" s="22"/>
      <c r="AD86" s="22"/>
      <c r="AE86" s="22"/>
    </row>
    <row r="87" spans="1:32" ht="15" customHeight="1">
      <c r="A87" s="16"/>
      <c r="B87" s="17" t="s">
        <v>23</v>
      </c>
      <c r="C87" s="18"/>
      <c r="D87" s="18"/>
      <c r="E87" s="28">
        <f>SUM(E80:E86)</f>
        <v>52.870000000000005</v>
      </c>
      <c r="F87" s="28">
        <f>SUM(F80:F86)</f>
        <v>49.5</v>
      </c>
      <c r="G87" s="28">
        <f>SUM(G80:G86)-2.5</f>
        <v>22.900000000000002</v>
      </c>
      <c r="H87" s="28">
        <f>SUM(H80:H86)-2.5</f>
        <v>21.270000000000003</v>
      </c>
      <c r="I87" s="28">
        <f>SUM(I80:I86)-0</f>
        <v>22.659999999999997</v>
      </c>
      <c r="J87" s="28">
        <f>SUM(J80:J86)-1.5</f>
        <v>18.246</v>
      </c>
      <c r="K87" s="28">
        <f>SUM(K80:K86)+6</f>
        <v>100.12</v>
      </c>
      <c r="L87" s="28">
        <f>SUM(L80:L86)</f>
        <v>79.995</v>
      </c>
      <c r="M87" s="28">
        <f>SUM(M80:M86)-0</f>
        <v>689.41</v>
      </c>
      <c r="N87" s="28">
        <f>SUM(N80:N86)-51</f>
        <v>548.9599999999999</v>
      </c>
      <c r="O87" s="28">
        <f>SUM(O80:O86)</f>
        <v>0.309</v>
      </c>
      <c r="P87" s="28">
        <f>SUM(P80:P86)</f>
        <v>0.195</v>
      </c>
      <c r="Q87" s="28">
        <f>SUM(Q80:Q86)</f>
        <v>0.303</v>
      </c>
      <c r="R87" s="28">
        <f>SUM(R80:R86)</f>
        <v>0.14750000000000002</v>
      </c>
      <c r="S87" s="28">
        <f>SUM(S80:S86)-5</f>
        <v>25.09</v>
      </c>
      <c r="T87" s="28">
        <f>SUM(T80:T86)-5</f>
        <v>20.459999999999997</v>
      </c>
      <c r="U87" s="28">
        <f>SUM(U80:U86)</f>
        <v>107.49300000000001</v>
      </c>
      <c r="V87" s="28">
        <f>SUM(V80:V86)</f>
        <v>77.6175</v>
      </c>
      <c r="W87" s="28">
        <f>SUM(W80:W86)</f>
        <v>7.302000000000001</v>
      </c>
      <c r="X87" s="78">
        <f>SUM(X80:X86)</f>
        <v>4.242500000000001</v>
      </c>
      <c r="Y87" s="75"/>
      <c r="Z87" s="75"/>
      <c r="AA87" s="75"/>
      <c r="AB87" s="75"/>
      <c r="AC87" s="75"/>
      <c r="AD87" s="22"/>
      <c r="AE87" s="22"/>
      <c r="AF87" s="22"/>
    </row>
    <row r="88" spans="1:32" ht="15" customHeight="1">
      <c r="A88" s="16"/>
      <c r="B88" s="90" t="s">
        <v>42</v>
      </c>
      <c r="C88" s="18"/>
      <c r="D88" s="18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9"/>
      <c r="P88" s="29"/>
      <c r="Q88" s="29"/>
      <c r="R88" s="29"/>
      <c r="S88" s="29"/>
      <c r="T88" s="29"/>
      <c r="U88" s="29"/>
      <c r="V88" s="29"/>
      <c r="W88" s="29"/>
      <c r="X88" s="79"/>
      <c r="Y88" s="22"/>
      <c r="Z88" s="37"/>
      <c r="AA88" s="37"/>
      <c r="AB88" s="37"/>
      <c r="AC88" s="22"/>
      <c r="AD88" s="22"/>
      <c r="AE88" s="22"/>
      <c r="AF88" s="22"/>
    </row>
    <row r="89" spans="1:31" ht="15" customHeight="1">
      <c r="A89" s="131" t="s">
        <v>34</v>
      </c>
      <c r="B89" s="59" t="s">
        <v>35</v>
      </c>
      <c r="C89" s="60" t="s">
        <v>26</v>
      </c>
      <c r="D89" s="60" t="s">
        <v>26</v>
      </c>
      <c r="E89" s="61">
        <v>10.36</v>
      </c>
      <c r="F89" s="61">
        <v>10.36</v>
      </c>
      <c r="G89" s="61">
        <v>5.31</v>
      </c>
      <c r="H89" s="62">
        <v>5.31</v>
      </c>
      <c r="I89" s="61">
        <v>4.5</v>
      </c>
      <c r="J89" s="62">
        <v>4.5</v>
      </c>
      <c r="K89" s="61">
        <v>8.91</v>
      </c>
      <c r="L89" s="62">
        <v>8.91</v>
      </c>
      <c r="M89" s="61">
        <v>97.38</v>
      </c>
      <c r="N89" s="62">
        <v>97.38</v>
      </c>
      <c r="O89" s="61">
        <v>0.07</v>
      </c>
      <c r="P89" s="62">
        <v>0.07</v>
      </c>
      <c r="Q89" s="61">
        <v>0.3</v>
      </c>
      <c r="R89" s="62">
        <v>0.3</v>
      </c>
      <c r="S89" s="61">
        <v>2.46</v>
      </c>
      <c r="T89" s="62">
        <v>2.46</v>
      </c>
      <c r="U89" s="61">
        <v>275.74</v>
      </c>
      <c r="V89" s="62">
        <v>275.74</v>
      </c>
      <c r="W89" s="61">
        <v>0.23</v>
      </c>
      <c r="X89" s="62">
        <v>0.23</v>
      </c>
      <c r="Y89" s="37"/>
      <c r="Z89" s="37"/>
      <c r="AA89" s="37"/>
      <c r="AB89" s="37"/>
      <c r="AC89" s="37"/>
      <c r="AD89" s="37"/>
      <c r="AE89" s="22"/>
    </row>
    <row r="90" spans="1:31" ht="12.75">
      <c r="A90" s="135" t="s">
        <v>108</v>
      </c>
      <c r="B90" s="42" t="s">
        <v>110</v>
      </c>
      <c r="C90" s="60" t="s">
        <v>111</v>
      </c>
      <c r="D90" s="60" t="s">
        <v>111</v>
      </c>
      <c r="E90" s="61">
        <v>0.95</v>
      </c>
      <c r="F90" s="61">
        <v>0.95</v>
      </c>
      <c r="G90" s="61">
        <v>2.24</v>
      </c>
      <c r="H90" s="62">
        <v>2.24</v>
      </c>
      <c r="I90" s="61">
        <v>3.93</v>
      </c>
      <c r="J90" s="62">
        <v>3.93</v>
      </c>
      <c r="K90" s="61">
        <v>18.27</v>
      </c>
      <c r="L90" s="62">
        <v>18.27</v>
      </c>
      <c r="M90" s="61">
        <v>117.63</v>
      </c>
      <c r="N90" s="62">
        <v>117.63</v>
      </c>
      <c r="O90" s="61"/>
      <c r="P90" s="62"/>
      <c r="Q90" s="61"/>
      <c r="R90" s="62"/>
      <c r="S90" s="61">
        <v>0</v>
      </c>
      <c r="T90" s="62">
        <v>0</v>
      </c>
      <c r="U90" s="117"/>
      <c r="V90" s="118"/>
      <c r="W90" s="117"/>
      <c r="X90" s="119"/>
      <c r="Y90" s="37"/>
      <c r="Z90" s="37"/>
      <c r="AA90" s="37"/>
      <c r="AB90" s="37"/>
      <c r="AC90" s="37"/>
      <c r="AD90" s="37"/>
      <c r="AE90" s="22"/>
    </row>
    <row r="91" spans="1:32" ht="15" customHeight="1">
      <c r="A91" s="16"/>
      <c r="B91" s="17" t="s">
        <v>23</v>
      </c>
      <c r="C91" s="72"/>
      <c r="D91" s="72"/>
      <c r="E91" s="120">
        <f>SUM(E89:E90)</f>
        <v>11.309999999999999</v>
      </c>
      <c r="F91" s="120">
        <f>SUM(F89:F90)</f>
        <v>11.309999999999999</v>
      </c>
      <c r="G91" s="120">
        <f aca="true" t="shared" si="22" ref="G91:N91">SUM(G89:G90)</f>
        <v>7.55</v>
      </c>
      <c r="H91" s="120">
        <f t="shared" si="22"/>
        <v>7.55</v>
      </c>
      <c r="I91" s="120">
        <f t="shared" si="22"/>
        <v>8.43</v>
      </c>
      <c r="J91" s="120">
        <f t="shared" si="22"/>
        <v>8.43</v>
      </c>
      <c r="K91" s="120">
        <f t="shared" si="22"/>
        <v>27.18</v>
      </c>
      <c r="L91" s="120">
        <f t="shared" si="22"/>
        <v>27.18</v>
      </c>
      <c r="M91" s="120">
        <f t="shared" si="22"/>
        <v>215.01</v>
      </c>
      <c r="N91" s="120">
        <f t="shared" si="22"/>
        <v>215.01</v>
      </c>
      <c r="O91" s="120">
        <f aca="true" t="shared" si="23" ref="O91:T91">SUM(O89:O90)</f>
        <v>0.07</v>
      </c>
      <c r="P91" s="120">
        <f t="shared" si="23"/>
        <v>0.07</v>
      </c>
      <c r="Q91" s="120">
        <f t="shared" si="23"/>
        <v>0.3</v>
      </c>
      <c r="R91" s="120">
        <f t="shared" si="23"/>
        <v>0.3</v>
      </c>
      <c r="S91" s="120">
        <f t="shared" si="23"/>
        <v>2.46</v>
      </c>
      <c r="T91" s="120">
        <f t="shared" si="23"/>
        <v>2.46</v>
      </c>
      <c r="U91" s="120">
        <f aca="true" t="shared" si="24" ref="U91:AB91">SUM(U89:U90)</f>
        <v>275.74</v>
      </c>
      <c r="V91" s="120">
        <f t="shared" si="24"/>
        <v>275.74</v>
      </c>
      <c r="W91" s="120">
        <f t="shared" si="24"/>
        <v>0.23</v>
      </c>
      <c r="X91" s="120">
        <f t="shared" si="24"/>
        <v>0.23</v>
      </c>
      <c r="Y91" s="120">
        <f t="shared" si="24"/>
        <v>0</v>
      </c>
      <c r="Z91" s="120">
        <f t="shared" si="24"/>
        <v>0</v>
      </c>
      <c r="AA91" s="120">
        <f t="shared" si="24"/>
        <v>0</v>
      </c>
      <c r="AB91" s="120">
        <f t="shared" si="24"/>
        <v>0</v>
      </c>
      <c r="AC91" s="75"/>
      <c r="AD91" s="22"/>
      <c r="AE91" s="22"/>
      <c r="AF91" s="22"/>
    </row>
    <row r="92" spans="1:32" ht="15" customHeight="1">
      <c r="A92" s="16"/>
      <c r="B92" s="90" t="s">
        <v>36</v>
      </c>
      <c r="C92" s="18"/>
      <c r="D92" s="18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9"/>
      <c r="U92" s="29"/>
      <c r="V92" s="29"/>
      <c r="W92" s="29"/>
      <c r="X92" s="79"/>
      <c r="Y92" s="22"/>
      <c r="Z92" s="37"/>
      <c r="AA92" s="37"/>
      <c r="AB92" s="37"/>
      <c r="AC92" s="22"/>
      <c r="AD92" s="22"/>
      <c r="AE92" s="22"/>
      <c r="AF92" s="22"/>
    </row>
    <row r="93" spans="1:29" s="31" customFormat="1" ht="18.75" customHeight="1">
      <c r="A93" s="133" t="s">
        <v>134</v>
      </c>
      <c r="B93" s="59" t="s">
        <v>192</v>
      </c>
      <c r="C93" s="60" t="s">
        <v>29</v>
      </c>
      <c r="D93" s="60" t="s">
        <v>29</v>
      </c>
      <c r="E93" s="61">
        <v>12.6</v>
      </c>
      <c r="F93" s="61">
        <v>12.6</v>
      </c>
      <c r="G93" s="61">
        <v>15.77</v>
      </c>
      <c r="H93" s="62">
        <v>15.77</v>
      </c>
      <c r="I93" s="62">
        <v>2.76</v>
      </c>
      <c r="J93" s="62">
        <v>2.76</v>
      </c>
      <c r="K93" s="62">
        <v>7.3</v>
      </c>
      <c r="L93" s="62">
        <v>7.3</v>
      </c>
      <c r="M93" s="62">
        <v>117</v>
      </c>
      <c r="N93" s="62">
        <v>117</v>
      </c>
      <c r="O93" s="62">
        <v>0.09</v>
      </c>
      <c r="P93" s="62">
        <v>0.09</v>
      </c>
      <c r="Q93" s="62">
        <v>0.1</v>
      </c>
      <c r="R93" s="62">
        <v>0.1</v>
      </c>
      <c r="S93" s="62">
        <v>2.29</v>
      </c>
      <c r="T93" s="62">
        <v>2.29</v>
      </c>
      <c r="U93" s="62">
        <v>23.97</v>
      </c>
      <c r="V93" s="62">
        <v>23.97</v>
      </c>
      <c r="W93" s="62">
        <v>0.61</v>
      </c>
      <c r="X93" s="62">
        <v>0.61</v>
      </c>
      <c r="Y93" s="36"/>
      <c r="Z93" s="105"/>
      <c r="AA93" s="105"/>
      <c r="AB93" s="105"/>
      <c r="AC93" s="36"/>
    </row>
    <row r="94" spans="1:29" ht="15" customHeight="1">
      <c r="A94" s="131" t="s">
        <v>157</v>
      </c>
      <c r="B94" s="59" t="s">
        <v>158</v>
      </c>
      <c r="C94" s="60" t="s">
        <v>22</v>
      </c>
      <c r="D94" s="60" t="s">
        <v>22</v>
      </c>
      <c r="E94" s="61">
        <v>10.38</v>
      </c>
      <c r="F94" s="61">
        <v>10.38</v>
      </c>
      <c r="G94" s="61">
        <v>3.15</v>
      </c>
      <c r="H94" s="62">
        <v>3.15</v>
      </c>
      <c r="I94" s="61">
        <v>9.6</v>
      </c>
      <c r="J94" s="62">
        <v>9.6</v>
      </c>
      <c r="K94" s="61">
        <v>27.7</v>
      </c>
      <c r="L94" s="62">
        <v>27.7</v>
      </c>
      <c r="M94" s="61">
        <v>209.8</v>
      </c>
      <c r="N94" s="62">
        <v>209.8</v>
      </c>
      <c r="O94" s="61">
        <v>0.15</v>
      </c>
      <c r="P94" s="148">
        <v>0.1</v>
      </c>
      <c r="Q94" s="61">
        <f>R94*150/100</f>
        <v>0.075</v>
      </c>
      <c r="R94" s="148">
        <v>0.05</v>
      </c>
      <c r="S94" s="61">
        <v>10.92</v>
      </c>
      <c r="T94" s="62">
        <v>10.92</v>
      </c>
      <c r="U94" s="61">
        <f>V94*150/100</f>
        <v>41.655</v>
      </c>
      <c r="V94" s="148">
        <v>27.77</v>
      </c>
      <c r="W94" s="61">
        <f>X94*150/100</f>
        <v>1.8</v>
      </c>
      <c r="X94" s="148">
        <v>1.2</v>
      </c>
      <c r="Z94" s="22"/>
      <c r="AA94" s="22"/>
      <c r="AB94" s="22"/>
      <c r="AC94" s="22"/>
    </row>
    <row r="95" spans="1:31" ht="15" customHeight="1">
      <c r="A95" s="132" t="s">
        <v>97</v>
      </c>
      <c r="B95" s="23" t="s">
        <v>98</v>
      </c>
      <c r="C95" s="18" t="s">
        <v>21</v>
      </c>
      <c r="D95" s="18" t="s">
        <v>22</v>
      </c>
      <c r="E95" s="19">
        <v>0.41</v>
      </c>
      <c r="F95" s="19">
        <v>0.3</v>
      </c>
      <c r="G95" s="19">
        <v>0.18</v>
      </c>
      <c r="H95" s="20">
        <v>0.13</v>
      </c>
      <c r="I95" s="19">
        <f>J95*200/150</f>
        <v>0</v>
      </c>
      <c r="J95" s="20">
        <v>0</v>
      </c>
      <c r="K95" s="19">
        <v>4.78</v>
      </c>
      <c r="L95" s="20">
        <v>3.58</v>
      </c>
      <c r="M95" s="19">
        <v>19.9</v>
      </c>
      <c r="N95" s="20">
        <v>14.92</v>
      </c>
      <c r="O95" s="19">
        <f>P95*200/150</f>
        <v>0.013333333333333334</v>
      </c>
      <c r="P95" s="29">
        <v>0.01</v>
      </c>
      <c r="Q95" s="19">
        <f>R95*200/150</f>
        <v>0.013333333333333334</v>
      </c>
      <c r="R95" s="29">
        <v>0.01</v>
      </c>
      <c r="S95" s="19">
        <v>0.04</v>
      </c>
      <c r="T95" s="29">
        <v>0.03</v>
      </c>
      <c r="U95" s="19">
        <f>V95*200/150</f>
        <v>5.053333333333334</v>
      </c>
      <c r="V95" s="29">
        <v>3.79</v>
      </c>
      <c r="W95" s="19">
        <f>X95*200/150</f>
        <v>0.84</v>
      </c>
      <c r="X95" s="79">
        <v>0.63</v>
      </c>
      <c r="Y95" s="22"/>
      <c r="Z95" s="22"/>
      <c r="AA95" s="22"/>
      <c r="AB95" s="22"/>
      <c r="AC95" s="22"/>
      <c r="AD95" s="22"/>
      <c r="AE95" s="22"/>
    </row>
    <row r="96" spans="1:31" s="68" customFormat="1" ht="15" customHeight="1">
      <c r="A96" s="131"/>
      <c r="B96" s="59" t="s">
        <v>30</v>
      </c>
      <c r="C96" s="60" t="s">
        <v>31</v>
      </c>
      <c r="D96" s="60" t="s">
        <v>31</v>
      </c>
      <c r="E96" s="61">
        <v>1.11</v>
      </c>
      <c r="F96" s="61">
        <v>1.11</v>
      </c>
      <c r="G96" s="61">
        <v>1.6</v>
      </c>
      <c r="H96" s="61">
        <v>1.6</v>
      </c>
      <c r="I96" s="61">
        <v>0.4</v>
      </c>
      <c r="J96" s="61">
        <v>0.4</v>
      </c>
      <c r="K96" s="61">
        <v>10</v>
      </c>
      <c r="L96" s="61">
        <v>10</v>
      </c>
      <c r="M96" s="62">
        <v>54</v>
      </c>
      <c r="N96" s="62">
        <v>54</v>
      </c>
      <c r="O96" s="65">
        <v>0.04</v>
      </c>
      <c r="P96" s="66">
        <v>0.04</v>
      </c>
      <c r="Q96" s="65">
        <v>0.02</v>
      </c>
      <c r="R96" s="66">
        <v>0.02</v>
      </c>
      <c r="S96" s="65">
        <v>0</v>
      </c>
      <c r="T96" s="66">
        <v>0</v>
      </c>
      <c r="U96" s="65">
        <v>7.4</v>
      </c>
      <c r="V96" s="66">
        <v>7.4</v>
      </c>
      <c r="W96" s="65">
        <v>0.56</v>
      </c>
      <c r="X96" s="66">
        <v>0.56</v>
      </c>
      <c r="Y96" s="67"/>
      <c r="Z96" s="67"/>
      <c r="AA96" s="67"/>
      <c r="AB96" s="67"/>
      <c r="AC96" s="67"/>
      <c r="AD96" s="67"/>
      <c r="AE96" s="67"/>
    </row>
    <row r="97" spans="1:32" ht="15" customHeight="1">
      <c r="A97" s="16"/>
      <c r="B97" s="17" t="s">
        <v>23</v>
      </c>
      <c r="C97" s="18"/>
      <c r="D97" s="18"/>
      <c r="E97" s="28">
        <f>SUM(E93:E96)</f>
        <v>24.5</v>
      </c>
      <c r="F97" s="28">
        <f>SUM(F93:F96)</f>
        <v>24.39</v>
      </c>
      <c r="G97" s="28">
        <f aca="true" t="shared" si="25" ref="G97:T97">SUM(G93:G96)</f>
        <v>20.7</v>
      </c>
      <c r="H97" s="28">
        <f t="shared" si="25"/>
        <v>20.65</v>
      </c>
      <c r="I97" s="28">
        <f t="shared" si="25"/>
        <v>12.76</v>
      </c>
      <c r="J97" s="28">
        <f t="shared" si="25"/>
        <v>12.76</v>
      </c>
      <c r="K97" s="28">
        <f t="shared" si="25"/>
        <v>49.78</v>
      </c>
      <c r="L97" s="28">
        <f t="shared" si="25"/>
        <v>48.58</v>
      </c>
      <c r="M97" s="28">
        <f t="shared" si="25"/>
        <v>400.7</v>
      </c>
      <c r="N97" s="28">
        <f t="shared" si="25"/>
        <v>395.72</v>
      </c>
      <c r="O97" s="28">
        <f t="shared" si="25"/>
        <v>0.2933333333333333</v>
      </c>
      <c r="P97" s="28">
        <f t="shared" si="25"/>
        <v>0.24000000000000002</v>
      </c>
      <c r="Q97" s="28">
        <f t="shared" si="25"/>
        <v>0.20833333333333331</v>
      </c>
      <c r="R97" s="28">
        <f t="shared" si="25"/>
        <v>0.18000000000000002</v>
      </c>
      <c r="S97" s="28">
        <f t="shared" si="25"/>
        <v>13.25</v>
      </c>
      <c r="T97" s="28">
        <f t="shared" si="25"/>
        <v>13.24</v>
      </c>
      <c r="U97" s="28">
        <f aca="true" t="shared" si="26" ref="U97:AB97">SUM(U93:U96)</f>
        <v>78.07833333333333</v>
      </c>
      <c r="V97" s="28">
        <f t="shared" si="26"/>
        <v>62.92999999999999</v>
      </c>
      <c r="W97" s="28">
        <f t="shared" si="26"/>
        <v>3.81</v>
      </c>
      <c r="X97" s="28">
        <f t="shared" si="26"/>
        <v>3</v>
      </c>
      <c r="Y97" s="28">
        <f t="shared" si="26"/>
        <v>0</v>
      </c>
      <c r="Z97" s="28">
        <f t="shared" si="26"/>
        <v>0</v>
      </c>
      <c r="AA97" s="28">
        <f t="shared" si="26"/>
        <v>0</v>
      </c>
      <c r="AB97" s="28">
        <f t="shared" si="26"/>
        <v>0</v>
      </c>
      <c r="AC97" s="75"/>
      <c r="AD97" s="22"/>
      <c r="AE97" s="22"/>
      <c r="AF97" s="22"/>
    </row>
    <row r="98" spans="1:32" ht="15" customHeight="1">
      <c r="A98" s="16"/>
      <c r="B98" s="17" t="s">
        <v>37</v>
      </c>
      <c r="C98" s="18"/>
      <c r="D98" s="19"/>
      <c r="E98" s="28">
        <f>E97+E91+E87+E78+E75</f>
        <v>127.41</v>
      </c>
      <c r="F98" s="28">
        <f>F97+F91+F87+F78+F75</f>
        <v>117.86000000000001</v>
      </c>
      <c r="G98" s="28">
        <f aca="true" t="shared" si="27" ref="G98:T98">G97+G91+G87+G78+G75</f>
        <v>65.23</v>
      </c>
      <c r="H98" s="28">
        <f t="shared" si="27"/>
        <v>61.46</v>
      </c>
      <c r="I98" s="28">
        <f t="shared" si="27"/>
        <v>62.38999999999999</v>
      </c>
      <c r="J98" s="28">
        <f t="shared" si="27"/>
        <v>55.48599999999999</v>
      </c>
      <c r="K98" s="28">
        <f t="shared" si="27"/>
        <v>238.20000000000002</v>
      </c>
      <c r="L98" s="28">
        <f t="shared" si="27"/>
        <v>206.77499999999998</v>
      </c>
      <c r="M98" s="28">
        <f t="shared" si="27"/>
        <v>1770.9999999999998</v>
      </c>
      <c r="N98" s="28">
        <f t="shared" si="27"/>
        <v>1556.18</v>
      </c>
      <c r="O98" s="28">
        <f t="shared" si="27"/>
        <v>0.9363333333333332</v>
      </c>
      <c r="P98" s="28">
        <f t="shared" si="27"/>
        <v>0.7033333333333335</v>
      </c>
      <c r="Q98" s="28">
        <f t="shared" si="27"/>
        <v>1.5533333333333332</v>
      </c>
      <c r="R98" s="28">
        <f t="shared" si="27"/>
        <v>1.2149999999999999</v>
      </c>
      <c r="S98" s="28">
        <f t="shared" si="27"/>
        <v>45.769999999999996</v>
      </c>
      <c r="T98" s="28">
        <f t="shared" si="27"/>
        <v>40.3</v>
      </c>
      <c r="U98" s="28">
        <f>U97+U91+U87+U78+U75</f>
        <v>1052.2053333333333</v>
      </c>
      <c r="V98" s="28">
        <f>V97+V91+V87+V78+V75</f>
        <v>915.7991666666667</v>
      </c>
      <c r="W98" s="28">
        <f>W97+W91+W87+W78+W75</f>
        <v>13.602000000000002</v>
      </c>
      <c r="X98" s="78">
        <f>X97+X91+X87+X78+X75</f>
        <v>9.145833333333334</v>
      </c>
      <c r="Y98" s="75"/>
      <c r="Z98" s="75"/>
      <c r="AA98" s="75"/>
      <c r="AB98" s="75"/>
      <c r="AC98" s="75"/>
      <c r="AD98" s="75"/>
      <c r="AE98" s="75"/>
      <c r="AF98" s="22"/>
    </row>
    <row r="99" spans="1:32" ht="15" customHeight="1">
      <c r="A99" s="16"/>
      <c r="B99" s="88" t="s">
        <v>178</v>
      </c>
      <c r="C99" s="18"/>
      <c r="D99" s="18"/>
      <c r="E99" s="19"/>
      <c r="F99" s="19"/>
      <c r="G99" s="19"/>
      <c r="H99" s="20"/>
      <c r="I99" s="20"/>
      <c r="J99" s="20"/>
      <c r="K99" s="20"/>
      <c r="L99" s="20"/>
      <c r="M99" s="20"/>
      <c r="N99" s="20"/>
      <c r="O99" s="29"/>
      <c r="P99" s="29"/>
      <c r="Q99" s="29"/>
      <c r="R99" s="29"/>
      <c r="S99" s="29"/>
      <c r="T99" s="29"/>
      <c r="U99" s="29"/>
      <c r="V99" s="29"/>
      <c r="W99" s="29"/>
      <c r="X99" s="79"/>
      <c r="Y99" s="22"/>
      <c r="Z99" s="37"/>
      <c r="AA99" s="37"/>
      <c r="AB99" s="37"/>
      <c r="AC99" s="22"/>
      <c r="AD99" s="22"/>
      <c r="AE99" s="22"/>
      <c r="AF99" s="22"/>
    </row>
    <row r="100" spans="1:32" ht="15" customHeight="1">
      <c r="A100" s="16"/>
      <c r="B100" s="90" t="s">
        <v>17</v>
      </c>
      <c r="C100" s="18"/>
      <c r="D100" s="18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9"/>
      <c r="P100" s="29"/>
      <c r="Q100" s="29"/>
      <c r="R100" s="29"/>
      <c r="S100" s="29"/>
      <c r="T100" s="29"/>
      <c r="U100" s="29"/>
      <c r="V100" s="29"/>
      <c r="W100" s="29"/>
      <c r="X100" s="79"/>
      <c r="Y100" s="22"/>
      <c r="Z100" s="37"/>
      <c r="AA100" s="37"/>
      <c r="AB100" s="37"/>
      <c r="AC100" s="22"/>
      <c r="AD100" s="22"/>
      <c r="AE100" s="22"/>
      <c r="AF100" s="22"/>
    </row>
    <row r="101" spans="1:30" s="31" customFormat="1" ht="15" customHeight="1">
      <c r="A101" s="131" t="s">
        <v>38</v>
      </c>
      <c r="B101" s="59" t="s">
        <v>39</v>
      </c>
      <c r="C101" s="60" t="s">
        <v>93</v>
      </c>
      <c r="D101" s="60" t="s">
        <v>93</v>
      </c>
      <c r="E101" s="61">
        <v>4.03</v>
      </c>
      <c r="F101" s="61">
        <v>4.03</v>
      </c>
      <c r="G101" s="61">
        <v>1.63</v>
      </c>
      <c r="H101" s="62">
        <v>1.63</v>
      </c>
      <c r="I101" s="62">
        <v>4.7</v>
      </c>
      <c r="J101" s="62">
        <v>4.7</v>
      </c>
      <c r="K101" s="62">
        <v>10.4</v>
      </c>
      <c r="L101" s="62">
        <v>10.4</v>
      </c>
      <c r="M101" s="62">
        <v>90.42</v>
      </c>
      <c r="N101" s="62">
        <v>90.42</v>
      </c>
      <c r="O101" s="63">
        <v>0.08</v>
      </c>
      <c r="P101" s="69">
        <v>0.05</v>
      </c>
      <c r="Q101" s="63">
        <v>0.04</v>
      </c>
      <c r="R101" s="69">
        <v>0.02</v>
      </c>
      <c r="S101" s="63">
        <v>0</v>
      </c>
      <c r="T101" s="62">
        <f>S101*25/45</f>
        <v>0</v>
      </c>
      <c r="U101" s="65">
        <v>13.6</v>
      </c>
      <c r="V101" s="66">
        <v>8.6</v>
      </c>
      <c r="W101" s="65">
        <v>0.81</v>
      </c>
      <c r="X101" s="66">
        <v>0.49</v>
      </c>
      <c r="Y101" s="30"/>
      <c r="Z101" s="30"/>
      <c r="AA101" s="30"/>
      <c r="AB101" s="30"/>
      <c r="AC101" s="30"/>
      <c r="AD101" s="30"/>
    </row>
    <row r="102" spans="1:32" ht="27.75" customHeight="1">
      <c r="A102" s="137" t="s">
        <v>152</v>
      </c>
      <c r="B102" s="17" t="s">
        <v>153</v>
      </c>
      <c r="C102" s="18" t="s">
        <v>99</v>
      </c>
      <c r="D102" s="18" t="s">
        <v>100</v>
      </c>
      <c r="E102" s="19">
        <v>11.58</v>
      </c>
      <c r="F102" s="19">
        <v>9.06</v>
      </c>
      <c r="G102" s="146">
        <v>4.4</v>
      </c>
      <c r="H102" s="146">
        <v>4.12</v>
      </c>
      <c r="I102" s="146">
        <v>4.06</v>
      </c>
      <c r="J102" s="146">
        <v>4.03</v>
      </c>
      <c r="K102" s="146">
        <v>26.99</v>
      </c>
      <c r="L102" s="146">
        <v>25.31</v>
      </c>
      <c r="M102" s="146">
        <v>162</v>
      </c>
      <c r="N102" s="146">
        <v>154</v>
      </c>
      <c r="O102" s="147">
        <v>0.17</v>
      </c>
      <c r="P102" s="146">
        <f>O102*150/200</f>
        <v>0.12750000000000003</v>
      </c>
      <c r="Q102" s="147">
        <v>0.26</v>
      </c>
      <c r="R102" s="146">
        <f>Q102*150/200</f>
        <v>0.195</v>
      </c>
      <c r="S102" s="147">
        <v>0</v>
      </c>
      <c r="T102" s="146">
        <v>0</v>
      </c>
      <c r="U102" s="27">
        <v>204.02</v>
      </c>
      <c r="V102" s="19">
        <v>170.02</v>
      </c>
      <c r="W102" s="27">
        <v>0.75</v>
      </c>
      <c r="X102" s="109">
        <f>W102*150/200</f>
        <v>0.5625</v>
      </c>
      <c r="Y102" s="22"/>
      <c r="Z102" s="22"/>
      <c r="AA102" s="22"/>
      <c r="AB102" s="22"/>
      <c r="AC102" s="22"/>
      <c r="AD102" s="22"/>
      <c r="AE102" s="22"/>
      <c r="AF102" s="22"/>
    </row>
    <row r="103" spans="1:31" ht="15.75" customHeight="1">
      <c r="A103" s="131" t="s">
        <v>50</v>
      </c>
      <c r="B103" s="59" t="s">
        <v>40</v>
      </c>
      <c r="C103" s="60" t="s">
        <v>26</v>
      </c>
      <c r="D103" s="60" t="s">
        <v>22</v>
      </c>
      <c r="E103" s="61">
        <v>5.9</v>
      </c>
      <c r="F103" s="61">
        <v>4.76</v>
      </c>
      <c r="G103" s="61">
        <v>2.85</v>
      </c>
      <c r="H103" s="62">
        <v>2.34</v>
      </c>
      <c r="I103" s="61">
        <v>2.41</v>
      </c>
      <c r="J103" s="62">
        <v>2</v>
      </c>
      <c r="K103" s="61">
        <v>14.36</v>
      </c>
      <c r="L103" s="62">
        <v>10.63</v>
      </c>
      <c r="M103" s="61">
        <v>91</v>
      </c>
      <c r="N103" s="62">
        <v>70</v>
      </c>
      <c r="O103" s="61">
        <f>P103*180/150</f>
        <v>0.012</v>
      </c>
      <c r="P103" s="69">
        <v>0.01</v>
      </c>
      <c r="Q103" s="61">
        <f>R103*180/150</f>
        <v>0.084</v>
      </c>
      <c r="R103" s="69">
        <v>0.07</v>
      </c>
      <c r="S103" s="61">
        <v>1.17</v>
      </c>
      <c r="T103" s="62">
        <f>S103*150/180</f>
        <v>0.975</v>
      </c>
      <c r="U103" s="61">
        <f>V103*180/150</f>
        <v>57.516</v>
      </c>
      <c r="V103" s="69">
        <v>47.93</v>
      </c>
      <c r="W103" s="61">
        <f>X103*180/150</f>
        <v>0.264</v>
      </c>
      <c r="X103" s="69">
        <v>0.22</v>
      </c>
      <c r="Y103" s="22"/>
      <c r="Z103" s="22"/>
      <c r="AA103" s="22"/>
      <c r="AB103" s="22"/>
      <c r="AC103" s="22"/>
      <c r="AD103" s="22"/>
      <c r="AE103" s="22"/>
    </row>
    <row r="104" spans="1:32" ht="15" customHeight="1">
      <c r="A104" s="16"/>
      <c r="B104" s="17" t="s">
        <v>23</v>
      </c>
      <c r="C104" s="18"/>
      <c r="D104" s="18"/>
      <c r="E104" s="28">
        <f>SUM(E101:E103)</f>
        <v>21.509999999999998</v>
      </c>
      <c r="F104" s="28">
        <f>SUM(F101:F103)</f>
        <v>17.85</v>
      </c>
      <c r="G104" s="28">
        <f aca="true" t="shared" si="28" ref="G104:T104">SUM(G101:G103)</f>
        <v>8.88</v>
      </c>
      <c r="H104" s="28">
        <f t="shared" si="28"/>
        <v>8.09</v>
      </c>
      <c r="I104" s="28">
        <f t="shared" si="28"/>
        <v>11.17</v>
      </c>
      <c r="J104" s="28">
        <f t="shared" si="28"/>
        <v>10.73</v>
      </c>
      <c r="K104" s="28">
        <f t="shared" si="28"/>
        <v>51.75</v>
      </c>
      <c r="L104" s="28">
        <f t="shared" si="28"/>
        <v>46.34</v>
      </c>
      <c r="M104" s="28">
        <f t="shared" si="28"/>
        <v>343.42</v>
      </c>
      <c r="N104" s="28">
        <f t="shared" si="28"/>
        <v>314.42</v>
      </c>
      <c r="O104" s="28">
        <f t="shared" si="28"/>
        <v>0.262</v>
      </c>
      <c r="P104" s="28">
        <f t="shared" si="28"/>
        <v>0.18750000000000006</v>
      </c>
      <c r="Q104" s="28">
        <f t="shared" si="28"/>
        <v>0.384</v>
      </c>
      <c r="R104" s="28">
        <f t="shared" si="28"/>
        <v>0.28500000000000003</v>
      </c>
      <c r="S104" s="28">
        <f t="shared" si="28"/>
        <v>1.17</v>
      </c>
      <c r="T104" s="28">
        <f t="shared" si="28"/>
        <v>0.975</v>
      </c>
      <c r="U104" s="28">
        <f>SUM(U101:U103)</f>
        <v>275.136</v>
      </c>
      <c r="V104" s="28">
        <f>SUM(V101:V103)</f>
        <v>226.55</v>
      </c>
      <c r="W104" s="28">
        <f>SUM(W101:W103)</f>
        <v>1.824</v>
      </c>
      <c r="X104" s="78">
        <f>SUM(X101:X103)</f>
        <v>1.2725</v>
      </c>
      <c r="Y104" s="75"/>
      <c r="Z104" s="75"/>
      <c r="AA104" s="75"/>
      <c r="AB104" s="75"/>
      <c r="AC104" s="75"/>
      <c r="AD104" s="22"/>
      <c r="AE104" s="22"/>
      <c r="AF104" s="22"/>
    </row>
    <row r="105" spans="1:32" ht="15" customHeight="1">
      <c r="A105" s="16"/>
      <c r="B105" s="90" t="s">
        <v>41</v>
      </c>
      <c r="C105" s="18"/>
      <c r="D105" s="18"/>
      <c r="E105" s="33"/>
      <c r="F105" s="33"/>
      <c r="G105" s="19"/>
      <c r="H105" s="20"/>
      <c r="I105" s="20"/>
      <c r="J105" s="20"/>
      <c r="K105" s="20"/>
      <c r="L105" s="20"/>
      <c r="M105" s="20"/>
      <c r="N105" s="20"/>
      <c r="O105" s="29"/>
      <c r="P105" s="29"/>
      <c r="Q105" s="29"/>
      <c r="R105" s="29"/>
      <c r="S105" s="29"/>
      <c r="T105" s="29"/>
      <c r="U105" s="29"/>
      <c r="V105" s="29"/>
      <c r="W105" s="29"/>
      <c r="X105" s="79"/>
      <c r="Y105" s="22"/>
      <c r="Z105" s="37"/>
      <c r="AA105" s="37"/>
      <c r="AB105" s="37"/>
      <c r="AC105" s="22"/>
      <c r="AD105" s="22"/>
      <c r="AE105" s="22"/>
      <c r="AF105" s="22"/>
    </row>
    <row r="106" spans="1:31" s="32" customFormat="1" ht="15" customHeight="1">
      <c r="A106" s="132" t="s">
        <v>25</v>
      </c>
      <c r="B106" s="17" t="s">
        <v>63</v>
      </c>
      <c r="C106" s="18" t="s">
        <v>186</v>
      </c>
      <c r="D106" s="18" t="s">
        <v>186</v>
      </c>
      <c r="E106" s="19">
        <v>4.32</v>
      </c>
      <c r="F106" s="19">
        <v>4.32</v>
      </c>
      <c r="G106" s="25">
        <v>0</v>
      </c>
      <c r="H106" s="26">
        <v>0</v>
      </c>
      <c r="I106" s="25">
        <f>J106*180/150</f>
        <v>0</v>
      </c>
      <c r="J106" s="26">
        <v>0</v>
      </c>
      <c r="K106" s="25">
        <v>9.6</v>
      </c>
      <c r="L106" s="26">
        <v>9.6</v>
      </c>
      <c r="M106" s="25">
        <v>38.4</v>
      </c>
      <c r="N106" s="26">
        <v>38.4</v>
      </c>
      <c r="O106" s="25">
        <f>P106*180/150</f>
        <v>0</v>
      </c>
      <c r="P106" s="26">
        <v>0</v>
      </c>
      <c r="Q106" s="25">
        <f>R106*180/150</f>
        <v>0.024</v>
      </c>
      <c r="R106" s="26">
        <v>0.02</v>
      </c>
      <c r="S106" s="25">
        <v>3.2</v>
      </c>
      <c r="T106" s="26">
        <v>3.2</v>
      </c>
      <c r="U106" s="25">
        <f>V106*180/150</f>
        <v>9.996</v>
      </c>
      <c r="V106" s="26">
        <v>8.33</v>
      </c>
      <c r="W106" s="25">
        <f>X106*180/150</f>
        <v>0.252</v>
      </c>
      <c r="X106" s="81">
        <v>0.21</v>
      </c>
      <c r="Y106" s="37"/>
      <c r="Z106" s="37"/>
      <c r="AA106" s="37"/>
      <c r="AB106" s="37"/>
      <c r="AC106" s="37"/>
      <c r="AD106" s="37"/>
      <c r="AE106" s="37"/>
    </row>
    <row r="107" spans="1:32" ht="15" customHeight="1">
      <c r="A107" s="16"/>
      <c r="B107" s="17" t="s">
        <v>23</v>
      </c>
      <c r="C107" s="18"/>
      <c r="D107" s="129"/>
      <c r="E107" s="130">
        <f>SUM(E106)</f>
        <v>4.32</v>
      </c>
      <c r="F107" s="130">
        <f>SUM(F106)</f>
        <v>4.32</v>
      </c>
      <c r="G107" s="130">
        <f aca="true" t="shared" si="29" ref="G107:T107">SUM(G106)</f>
        <v>0</v>
      </c>
      <c r="H107" s="130">
        <f t="shared" si="29"/>
        <v>0</v>
      </c>
      <c r="I107" s="130">
        <f t="shared" si="29"/>
        <v>0</v>
      </c>
      <c r="J107" s="130">
        <f t="shared" si="29"/>
        <v>0</v>
      </c>
      <c r="K107" s="130">
        <f t="shared" si="29"/>
        <v>9.6</v>
      </c>
      <c r="L107" s="130">
        <f t="shared" si="29"/>
        <v>9.6</v>
      </c>
      <c r="M107" s="130">
        <f t="shared" si="29"/>
        <v>38.4</v>
      </c>
      <c r="N107" s="130">
        <f t="shared" si="29"/>
        <v>38.4</v>
      </c>
      <c r="O107" s="130">
        <f t="shared" si="29"/>
        <v>0</v>
      </c>
      <c r="P107" s="130">
        <f t="shared" si="29"/>
        <v>0</v>
      </c>
      <c r="Q107" s="130">
        <f t="shared" si="29"/>
        <v>0.024</v>
      </c>
      <c r="R107" s="130">
        <f t="shared" si="29"/>
        <v>0.02</v>
      </c>
      <c r="S107" s="130">
        <f t="shared" si="29"/>
        <v>3.2</v>
      </c>
      <c r="T107" s="130">
        <f t="shared" si="29"/>
        <v>3.2</v>
      </c>
      <c r="U107" s="28">
        <f>SUM(U106)</f>
        <v>9.996</v>
      </c>
      <c r="V107" s="28">
        <f>SUM(V106)</f>
        <v>8.33</v>
      </c>
      <c r="W107" s="28">
        <f>SUM(W106)</f>
        <v>0.252</v>
      </c>
      <c r="X107" s="78">
        <f>SUM(X106)</f>
        <v>0.21</v>
      </c>
      <c r="Y107" s="75"/>
      <c r="Z107" s="75"/>
      <c r="AA107" s="75"/>
      <c r="AB107" s="75"/>
      <c r="AC107" s="75"/>
      <c r="AD107" s="22"/>
      <c r="AE107" s="22"/>
      <c r="AF107" s="22"/>
    </row>
    <row r="108" spans="1:32" ht="15" customHeight="1">
      <c r="A108" s="16"/>
      <c r="B108" s="90" t="s">
        <v>27</v>
      </c>
      <c r="C108" s="18"/>
      <c r="D108" s="18"/>
      <c r="E108" s="34"/>
      <c r="F108" s="34"/>
      <c r="G108" s="1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9"/>
      <c r="U108" s="29"/>
      <c r="V108" s="29"/>
      <c r="W108" s="29"/>
      <c r="X108" s="79"/>
      <c r="Y108" s="22"/>
      <c r="Z108" s="37"/>
      <c r="AA108" s="37"/>
      <c r="AB108" s="37"/>
      <c r="AC108" s="22"/>
      <c r="AD108" s="22"/>
      <c r="AE108" s="22"/>
      <c r="AF108" s="22"/>
    </row>
    <row r="109" spans="1:24" ht="15.75" customHeight="1">
      <c r="A109" s="136" t="s">
        <v>123</v>
      </c>
      <c r="B109" s="59" t="s">
        <v>124</v>
      </c>
      <c r="C109" s="60" t="s">
        <v>29</v>
      </c>
      <c r="D109" s="60" t="s">
        <v>28</v>
      </c>
      <c r="E109" s="61">
        <v>1.67</v>
      </c>
      <c r="F109" s="61">
        <v>1.33</v>
      </c>
      <c r="G109" s="123">
        <f>H109*75/60</f>
        <v>0.75</v>
      </c>
      <c r="H109" s="124">
        <v>0.6</v>
      </c>
      <c r="I109" s="123">
        <f>J109*75/60</f>
        <v>4.5</v>
      </c>
      <c r="J109" s="124">
        <v>3.6</v>
      </c>
      <c r="K109" s="123">
        <f>L109*75/60</f>
        <v>6</v>
      </c>
      <c r="L109" s="124">
        <v>4.8</v>
      </c>
      <c r="M109" s="123">
        <f>N109*75/60</f>
        <v>67.5</v>
      </c>
      <c r="N109" s="124">
        <v>54</v>
      </c>
      <c r="O109" s="123">
        <v>0.01</v>
      </c>
      <c r="P109" s="124">
        <v>0</v>
      </c>
      <c r="Q109" s="123">
        <v>0.02</v>
      </c>
      <c r="R109" s="124">
        <v>0</v>
      </c>
      <c r="S109" s="123">
        <f>T109*75/60</f>
        <v>7.1375</v>
      </c>
      <c r="T109" s="124">
        <v>5.71</v>
      </c>
      <c r="U109" s="123">
        <v>20.69</v>
      </c>
      <c r="V109" s="124">
        <v>0</v>
      </c>
      <c r="W109" s="123">
        <v>0.78</v>
      </c>
      <c r="X109" s="124">
        <v>0</v>
      </c>
    </row>
    <row r="110" spans="1:31" ht="24.75" customHeight="1">
      <c r="A110" s="132" t="s">
        <v>162</v>
      </c>
      <c r="B110" s="23" t="s">
        <v>163</v>
      </c>
      <c r="C110" s="18" t="s">
        <v>78</v>
      </c>
      <c r="D110" s="18" t="s">
        <v>79</v>
      </c>
      <c r="E110" s="19">
        <v>12.23</v>
      </c>
      <c r="F110" s="19">
        <v>11.29</v>
      </c>
      <c r="G110" s="25">
        <v>6.34</v>
      </c>
      <c r="H110" s="25">
        <v>5.78</v>
      </c>
      <c r="I110" s="25">
        <v>7.75</v>
      </c>
      <c r="J110" s="25">
        <v>7.15</v>
      </c>
      <c r="K110" s="25">
        <v>16.4</v>
      </c>
      <c r="L110" s="25">
        <v>12.3</v>
      </c>
      <c r="M110" s="25">
        <v>161</v>
      </c>
      <c r="N110" s="25">
        <v>137</v>
      </c>
      <c r="O110" s="25">
        <v>0.14</v>
      </c>
      <c r="P110" s="26">
        <v>0.16</v>
      </c>
      <c r="Q110" s="25">
        <v>0.05</v>
      </c>
      <c r="R110" s="26">
        <v>0.11</v>
      </c>
      <c r="S110" s="25">
        <v>8.1</v>
      </c>
      <c r="T110" s="26">
        <f>S110*175/225</f>
        <v>6.3</v>
      </c>
      <c r="U110" s="25">
        <v>17.7</v>
      </c>
      <c r="V110" s="26">
        <v>18.09</v>
      </c>
      <c r="W110" s="25">
        <v>1.11</v>
      </c>
      <c r="X110" s="108">
        <v>1.07</v>
      </c>
      <c r="Y110" s="83"/>
      <c r="Z110" s="22"/>
      <c r="AA110" s="22"/>
      <c r="AB110" s="22"/>
      <c r="AC110" s="22"/>
      <c r="AD110" s="22"/>
      <c r="AE110" s="22"/>
    </row>
    <row r="111" spans="1:30" ht="17.25" customHeight="1">
      <c r="A111" s="132" t="s">
        <v>120</v>
      </c>
      <c r="B111" s="23" t="s">
        <v>121</v>
      </c>
      <c r="C111" s="18" t="s">
        <v>29</v>
      </c>
      <c r="D111" s="18" t="s">
        <v>29</v>
      </c>
      <c r="E111" s="19">
        <v>16.51</v>
      </c>
      <c r="F111" s="19">
        <v>16.51</v>
      </c>
      <c r="G111" s="19">
        <v>9</v>
      </c>
      <c r="H111" s="20">
        <v>9</v>
      </c>
      <c r="I111" s="19">
        <v>10</v>
      </c>
      <c r="J111" s="19">
        <v>10</v>
      </c>
      <c r="K111" s="20">
        <v>3</v>
      </c>
      <c r="L111" s="20">
        <v>3</v>
      </c>
      <c r="M111" s="20">
        <v>139</v>
      </c>
      <c r="N111" s="20">
        <v>139</v>
      </c>
      <c r="O111" s="20">
        <v>0.07</v>
      </c>
      <c r="P111" s="20">
        <v>0.07</v>
      </c>
      <c r="Q111" s="20">
        <v>0.09</v>
      </c>
      <c r="R111" s="20">
        <v>0.09</v>
      </c>
      <c r="S111" s="20">
        <v>0.34</v>
      </c>
      <c r="T111" s="20">
        <v>0.34</v>
      </c>
      <c r="U111" s="20">
        <v>12.73</v>
      </c>
      <c r="V111" s="20">
        <v>12.73</v>
      </c>
      <c r="W111" s="20">
        <v>0.74</v>
      </c>
      <c r="X111" s="39">
        <v>0.74</v>
      </c>
      <c r="Y111" s="83"/>
      <c r="Z111" s="22"/>
      <c r="AA111" s="22"/>
      <c r="AB111" s="22"/>
      <c r="AC111" s="22"/>
      <c r="AD111" s="22"/>
    </row>
    <row r="112" spans="1:29" ht="15.75" customHeight="1">
      <c r="A112" s="131" t="s">
        <v>114</v>
      </c>
      <c r="B112" s="59" t="s">
        <v>101</v>
      </c>
      <c r="C112" s="60" t="s">
        <v>22</v>
      </c>
      <c r="D112" s="60" t="s">
        <v>61</v>
      </c>
      <c r="E112" s="61">
        <v>5.65</v>
      </c>
      <c r="F112" s="61">
        <v>4.9</v>
      </c>
      <c r="G112" s="62">
        <f>H112*150/130</f>
        <v>3.75</v>
      </c>
      <c r="H112" s="62">
        <v>3.25</v>
      </c>
      <c r="I112" s="62">
        <f>J112*150/130</f>
        <v>6.923076923076923</v>
      </c>
      <c r="J112" s="62">
        <v>6</v>
      </c>
      <c r="K112" s="62">
        <f>L112*150/130</f>
        <v>16.153846153846153</v>
      </c>
      <c r="L112" s="62">
        <v>14</v>
      </c>
      <c r="M112" s="62">
        <f>N112*150/130</f>
        <v>141.3</v>
      </c>
      <c r="N112" s="62">
        <v>122.46</v>
      </c>
      <c r="O112" s="63"/>
      <c r="P112" s="62"/>
      <c r="Q112" s="63"/>
      <c r="R112" s="62"/>
      <c r="S112" s="62">
        <f>T112*150/130</f>
        <v>24.553846153846155</v>
      </c>
      <c r="T112" s="62">
        <v>21.28</v>
      </c>
      <c r="U112" s="63">
        <v>21.3</v>
      </c>
      <c r="V112" s="62">
        <f>U112*50/75</f>
        <v>14.2</v>
      </c>
      <c r="W112" s="63">
        <v>0.09</v>
      </c>
      <c r="X112" s="62">
        <f>W112*50/75</f>
        <v>0.06</v>
      </c>
      <c r="Z112" s="22"/>
      <c r="AA112" s="22"/>
      <c r="AB112" s="22"/>
      <c r="AC112" s="22"/>
    </row>
    <row r="113" spans="1:33" ht="15" customHeight="1">
      <c r="A113" s="132" t="s">
        <v>135</v>
      </c>
      <c r="B113" s="139" t="s">
        <v>136</v>
      </c>
      <c r="C113" s="72" t="s">
        <v>21</v>
      </c>
      <c r="D113" s="72" t="s">
        <v>22</v>
      </c>
      <c r="E113" s="34">
        <v>2.37</v>
      </c>
      <c r="F113" s="140">
        <v>1.78</v>
      </c>
      <c r="G113" s="25">
        <v>0.2</v>
      </c>
      <c r="H113" s="26">
        <f>G113*150/200</f>
        <v>0.15</v>
      </c>
      <c r="I113" s="25">
        <v>0</v>
      </c>
      <c r="J113" s="26">
        <f>I113*150/200</f>
        <v>0</v>
      </c>
      <c r="K113" s="25">
        <v>21.6</v>
      </c>
      <c r="L113" s="26">
        <f>K113*150/200</f>
        <v>16.2</v>
      </c>
      <c r="M113" s="25">
        <v>87.2</v>
      </c>
      <c r="N113" s="26">
        <f>M113*150/200</f>
        <v>65.4</v>
      </c>
      <c r="O113" s="25">
        <v>0.01</v>
      </c>
      <c r="P113" s="20">
        <f>O113*150/200</f>
        <v>0.0075</v>
      </c>
      <c r="Q113" s="25">
        <v>0.01</v>
      </c>
      <c r="R113" s="20">
        <f>Q113*150/200</f>
        <v>0.0075</v>
      </c>
      <c r="S113" s="25">
        <v>25.8</v>
      </c>
      <c r="T113" s="20">
        <f>S113*150/200</f>
        <v>19.35</v>
      </c>
      <c r="U113" s="25">
        <v>11.5</v>
      </c>
      <c r="V113" s="20">
        <f>U113*150/200</f>
        <v>8.625</v>
      </c>
      <c r="W113" s="112">
        <v>0.48</v>
      </c>
      <c r="X113" s="39">
        <f>W113*150/200</f>
        <v>0.36</v>
      </c>
      <c r="Y113" s="83"/>
      <c r="Z113" s="22"/>
      <c r="AA113" s="22"/>
      <c r="AB113" s="22"/>
      <c r="AC113" s="22"/>
      <c r="AD113" s="22"/>
      <c r="AE113" s="22"/>
      <c r="AF113" s="22"/>
      <c r="AG113" s="22"/>
    </row>
    <row r="114" spans="1:31" s="68" customFormat="1" ht="15" customHeight="1">
      <c r="A114" s="131"/>
      <c r="B114" s="59" t="s">
        <v>30</v>
      </c>
      <c r="C114" s="60" t="s">
        <v>31</v>
      </c>
      <c r="D114" s="60" t="s">
        <v>31</v>
      </c>
      <c r="E114" s="61">
        <v>1.11</v>
      </c>
      <c r="F114" s="61">
        <v>1.11</v>
      </c>
      <c r="G114" s="61">
        <v>1.6</v>
      </c>
      <c r="H114" s="61">
        <v>1.6</v>
      </c>
      <c r="I114" s="61">
        <v>0.4</v>
      </c>
      <c r="J114" s="61">
        <v>0.4</v>
      </c>
      <c r="K114" s="61">
        <v>10</v>
      </c>
      <c r="L114" s="61">
        <v>10</v>
      </c>
      <c r="M114" s="62">
        <v>54</v>
      </c>
      <c r="N114" s="62">
        <v>54</v>
      </c>
      <c r="O114" s="65">
        <v>0.04</v>
      </c>
      <c r="P114" s="66">
        <v>0.04</v>
      </c>
      <c r="Q114" s="65">
        <v>0.02</v>
      </c>
      <c r="R114" s="66">
        <v>0.02</v>
      </c>
      <c r="S114" s="65">
        <v>0</v>
      </c>
      <c r="T114" s="66">
        <v>0</v>
      </c>
      <c r="U114" s="65">
        <v>7.4</v>
      </c>
      <c r="V114" s="66">
        <v>7.4</v>
      </c>
      <c r="W114" s="65">
        <v>0.56</v>
      </c>
      <c r="X114" s="66">
        <v>0.56</v>
      </c>
      <c r="Y114" s="67"/>
      <c r="Z114" s="67"/>
      <c r="AA114" s="67"/>
      <c r="AB114" s="67"/>
      <c r="AC114" s="67"/>
      <c r="AD114" s="67"/>
      <c r="AE114" s="67"/>
    </row>
    <row r="115" spans="1:31" ht="15" customHeight="1">
      <c r="A115" s="131"/>
      <c r="B115" s="59" t="s">
        <v>32</v>
      </c>
      <c r="C115" s="60" t="s">
        <v>80</v>
      </c>
      <c r="D115" s="60" t="s">
        <v>81</v>
      </c>
      <c r="E115" s="61">
        <v>2.09</v>
      </c>
      <c r="F115" s="61">
        <v>1.83</v>
      </c>
      <c r="G115" s="61">
        <v>3.25</v>
      </c>
      <c r="H115" s="62">
        <v>2.84</v>
      </c>
      <c r="I115" s="62">
        <v>0.46</v>
      </c>
      <c r="J115" s="62">
        <f>I115*40.6/46</f>
        <v>0.406</v>
      </c>
      <c r="K115" s="62">
        <v>20.88</v>
      </c>
      <c r="L115" s="62">
        <v>18.27</v>
      </c>
      <c r="M115" s="62">
        <v>102.08</v>
      </c>
      <c r="N115" s="62">
        <v>89.32</v>
      </c>
      <c r="O115" s="63">
        <v>0.06</v>
      </c>
      <c r="P115" s="69">
        <v>0.04</v>
      </c>
      <c r="Q115" s="63">
        <v>0.04</v>
      </c>
      <c r="R115" s="69">
        <v>0.03</v>
      </c>
      <c r="S115" s="63">
        <v>0</v>
      </c>
      <c r="T115" s="62">
        <f>S115*40.6/46</f>
        <v>0</v>
      </c>
      <c r="U115" s="65">
        <v>17</v>
      </c>
      <c r="V115" s="66">
        <v>13.6</v>
      </c>
      <c r="W115" s="65">
        <v>1.15</v>
      </c>
      <c r="X115" s="66">
        <v>0.92</v>
      </c>
      <c r="Y115" s="22"/>
      <c r="Z115" s="22"/>
      <c r="AA115" s="22"/>
      <c r="AB115" s="22"/>
      <c r="AC115" s="22"/>
      <c r="AD115" s="22"/>
      <c r="AE115" s="22"/>
    </row>
    <row r="116" spans="1:32" ht="15" customHeight="1">
      <c r="A116" s="16"/>
      <c r="B116" s="17" t="s">
        <v>23</v>
      </c>
      <c r="C116" s="18"/>
      <c r="D116" s="18"/>
      <c r="E116" s="28">
        <f>SUM(E109:E115)</f>
        <v>41.629999999999995</v>
      </c>
      <c r="F116" s="28">
        <f>SUM(F109:F115)</f>
        <v>38.75</v>
      </c>
      <c r="G116" s="28">
        <f>SUM(G109:G115)-2.5</f>
        <v>22.39</v>
      </c>
      <c r="H116" s="28">
        <f>SUM(H109:H115)-2.5</f>
        <v>20.72</v>
      </c>
      <c r="I116" s="28">
        <f>SUM(I109:I115)-0</f>
        <v>30.033076923076923</v>
      </c>
      <c r="J116" s="28">
        <f>SUM(J109:J115)-3</f>
        <v>24.555999999999997</v>
      </c>
      <c r="K116" s="28">
        <f>SUM(K109:K115)+6</f>
        <v>100.03384615384616</v>
      </c>
      <c r="L116" s="28">
        <f>SUM(L109:L115)</f>
        <v>78.57</v>
      </c>
      <c r="M116" s="28">
        <f>SUM(M109:M115)-0</f>
        <v>752.08</v>
      </c>
      <c r="N116" s="28">
        <f>SUM(N109:N115)-51</f>
        <v>610.1800000000001</v>
      </c>
      <c r="O116" s="28">
        <f>SUM(O109:O115)</f>
        <v>0.33</v>
      </c>
      <c r="P116" s="28">
        <f>SUM(P109:P115)</f>
        <v>0.3175</v>
      </c>
      <c r="Q116" s="28">
        <f>SUM(Q109:Q115)</f>
        <v>0.23</v>
      </c>
      <c r="R116" s="28">
        <f>SUM(R109:R115)</f>
        <v>0.2575</v>
      </c>
      <c r="S116" s="28">
        <f>SUM(S109:S115)-8</f>
        <v>57.93134615384615</v>
      </c>
      <c r="T116" s="28">
        <f>SUM(T109:T115)-5</f>
        <v>47.980000000000004</v>
      </c>
      <c r="U116" s="28">
        <f aca="true" t="shared" si="30" ref="U116:AB116">SUM(U109:U115)-3</f>
        <v>105.32000000000001</v>
      </c>
      <c r="V116" s="28">
        <f t="shared" si="30"/>
        <v>71.645</v>
      </c>
      <c r="W116" s="28">
        <f t="shared" si="30"/>
        <v>1.9100000000000001</v>
      </c>
      <c r="X116" s="28">
        <f t="shared" si="30"/>
        <v>0.71</v>
      </c>
      <c r="Y116" s="28">
        <f t="shared" si="30"/>
        <v>-3</v>
      </c>
      <c r="Z116" s="28">
        <f t="shared" si="30"/>
        <v>-3</v>
      </c>
      <c r="AA116" s="28">
        <f t="shared" si="30"/>
        <v>-3</v>
      </c>
      <c r="AB116" s="28">
        <f t="shared" si="30"/>
        <v>-3</v>
      </c>
      <c r="AC116" s="75"/>
      <c r="AD116" s="75"/>
      <c r="AE116" s="75"/>
      <c r="AF116" s="75"/>
    </row>
    <row r="117" spans="1:32" ht="15" customHeight="1">
      <c r="A117" s="16"/>
      <c r="B117" s="90" t="s">
        <v>33</v>
      </c>
      <c r="C117" s="18"/>
      <c r="D117" s="1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9"/>
      <c r="P117" s="29"/>
      <c r="Q117" s="29"/>
      <c r="R117" s="29"/>
      <c r="S117" s="29"/>
      <c r="T117" s="29"/>
      <c r="U117" s="29"/>
      <c r="V117" s="29"/>
      <c r="W117" s="29"/>
      <c r="X117" s="79"/>
      <c r="Y117" s="22"/>
      <c r="Z117" s="37"/>
      <c r="AA117" s="37"/>
      <c r="AB117" s="37"/>
      <c r="AC117" s="22"/>
      <c r="AD117" s="22"/>
      <c r="AE117" s="22"/>
      <c r="AF117" s="22"/>
    </row>
    <row r="118" spans="1:31" ht="15" customHeight="1">
      <c r="A118" s="131" t="s">
        <v>34</v>
      </c>
      <c r="B118" s="59" t="s">
        <v>35</v>
      </c>
      <c r="C118" s="60" t="s">
        <v>26</v>
      </c>
      <c r="D118" s="60" t="s">
        <v>26</v>
      </c>
      <c r="E118" s="61">
        <v>10.36</v>
      </c>
      <c r="F118" s="61">
        <v>10.36</v>
      </c>
      <c r="G118" s="61">
        <v>5.31</v>
      </c>
      <c r="H118" s="62">
        <v>5.31</v>
      </c>
      <c r="I118" s="61">
        <v>4.5</v>
      </c>
      <c r="J118" s="62">
        <v>4.5</v>
      </c>
      <c r="K118" s="61">
        <v>8.91</v>
      </c>
      <c r="L118" s="62">
        <v>8.91</v>
      </c>
      <c r="M118" s="61">
        <v>97.38</v>
      </c>
      <c r="N118" s="62">
        <v>97.38</v>
      </c>
      <c r="O118" s="61">
        <v>0.07</v>
      </c>
      <c r="P118" s="62">
        <v>0.07</v>
      </c>
      <c r="Q118" s="61">
        <v>0.3</v>
      </c>
      <c r="R118" s="62">
        <v>0.3</v>
      </c>
      <c r="S118" s="61">
        <v>2.46</v>
      </c>
      <c r="T118" s="62">
        <v>2.46</v>
      </c>
      <c r="U118" s="61">
        <v>275.74</v>
      </c>
      <c r="V118" s="62">
        <v>275.74</v>
      </c>
      <c r="W118" s="61">
        <v>0.23</v>
      </c>
      <c r="X118" s="62">
        <v>0.23</v>
      </c>
      <c r="Y118" s="37"/>
      <c r="Z118" s="37"/>
      <c r="AA118" s="37"/>
      <c r="AB118" s="37"/>
      <c r="AC118" s="37"/>
      <c r="AD118" s="37"/>
      <c r="AE118" s="22"/>
    </row>
    <row r="119" spans="1:32" ht="15" customHeight="1">
      <c r="A119" s="16"/>
      <c r="B119" s="17" t="s">
        <v>23</v>
      </c>
      <c r="C119" s="18"/>
      <c r="D119" s="18"/>
      <c r="E119" s="28">
        <f>SUM(E118)</f>
        <v>10.36</v>
      </c>
      <c r="F119" s="28">
        <f>SUM(F118)</f>
        <v>10.36</v>
      </c>
      <c r="G119" s="28">
        <f aca="true" t="shared" si="31" ref="G119:T119">SUM(G118)</f>
        <v>5.31</v>
      </c>
      <c r="H119" s="28">
        <f t="shared" si="31"/>
        <v>5.31</v>
      </c>
      <c r="I119" s="28">
        <f t="shared" si="31"/>
        <v>4.5</v>
      </c>
      <c r="J119" s="28">
        <f t="shared" si="31"/>
        <v>4.5</v>
      </c>
      <c r="K119" s="28">
        <f t="shared" si="31"/>
        <v>8.91</v>
      </c>
      <c r="L119" s="28">
        <f t="shared" si="31"/>
        <v>8.91</v>
      </c>
      <c r="M119" s="28">
        <f t="shared" si="31"/>
        <v>97.38</v>
      </c>
      <c r="N119" s="28">
        <f t="shared" si="31"/>
        <v>97.38</v>
      </c>
      <c r="O119" s="28">
        <f t="shared" si="31"/>
        <v>0.07</v>
      </c>
      <c r="P119" s="28">
        <f t="shared" si="31"/>
        <v>0.07</v>
      </c>
      <c r="Q119" s="28">
        <f t="shared" si="31"/>
        <v>0.3</v>
      </c>
      <c r="R119" s="28">
        <f t="shared" si="31"/>
        <v>0.3</v>
      </c>
      <c r="S119" s="28">
        <f t="shared" si="31"/>
        <v>2.46</v>
      </c>
      <c r="T119" s="28">
        <f t="shared" si="31"/>
        <v>2.46</v>
      </c>
      <c r="U119" s="28">
        <f>SUM(U118)</f>
        <v>275.74</v>
      </c>
      <c r="V119" s="28">
        <f>SUM(V118)</f>
        <v>275.74</v>
      </c>
      <c r="W119" s="28">
        <f>SUM(W118)</f>
        <v>0.23</v>
      </c>
      <c r="X119" s="78">
        <f>SUM(X118)</f>
        <v>0.23</v>
      </c>
      <c r="Y119" s="75"/>
      <c r="Z119" s="75"/>
      <c r="AA119" s="75"/>
      <c r="AB119" s="75"/>
      <c r="AC119" s="75"/>
      <c r="AD119" s="75"/>
      <c r="AE119" s="22"/>
      <c r="AF119" s="22"/>
    </row>
    <row r="120" spans="1:32" ht="15" customHeight="1">
      <c r="A120" s="16"/>
      <c r="B120" s="90" t="s">
        <v>36</v>
      </c>
      <c r="C120" s="18"/>
      <c r="D120" s="18"/>
      <c r="E120" s="19"/>
      <c r="F120" s="19"/>
      <c r="G120" s="19"/>
      <c r="H120" s="20"/>
      <c r="I120" s="20"/>
      <c r="J120" s="20"/>
      <c r="K120" s="20"/>
      <c r="L120" s="20"/>
      <c r="M120" s="20"/>
      <c r="N120" s="20"/>
      <c r="O120" s="29"/>
      <c r="P120" s="29"/>
      <c r="Q120" s="29"/>
      <c r="R120" s="29"/>
      <c r="S120" s="29"/>
      <c r="T120" s="29"/>
      <c r="U120" s="29"/>
      <c r="V120" s="29"/>
      <c r="W120" s="29"/>
      <c r="X120" s="79"/>
      <c r="Y120" s="22"/>
      <c r="Z120" s="37"/>
      <c r="AA120" s="37"/>
      <c r="AB120" s="37"/>
      <c r="AC120" s="22"/>
      <c r="AD120" s="22"/>
      <c r="AE120" s="22"/>
      <c r="AF120" s="22"/>
    </row>
    <row r="121" spans="1:33" ht="15" customHeight="1">
      <c r="A121" s="132"/>
      <c r="B121" s="17" t="s">
        <v>172</v>
      </c>
      <c r="C121" s="18" t="s">
        <v>22</v>
      </c>
      <c r="D121" s="18" t="s">
        <v>22</v>
      </c>
      <c r="E121" s="19">
        <v>11.39</v>
      </c>
      <c r="F121" s="19">
        <v>11.39</v>
      </c>
      <c r="G121" s="19">
        <v>1.35</v>
      </c>
      <c r="H121" s="20">
        <v>1.35</v>
      </c>
      <c r="I121" s="19">
        <v>0</v>
      </c>
      <c r="J121" s="20">
        <v>0</v>
      </c>
      <c r="K121" s="19">
        <v>12.15</v>
      </c>
      <c r="L121" s="20">
        <v>12.15</v>
      </c>
      <c r="M121" s="19">
        <v>64.5</v>
      </c>
      <c r="N121" s="20">
        <v>64.5</v>
      </c>
      <c r="O121" s="19">
        <v>0.02</v>
      </c>
      <c r="P121" s="20">
        <v>0.02</v>
      </c>
      <c r="Q121" s="19">
        <f>R121*160/150</f>
        <v>0.05333333333333334</v>
      </c>
      <c r="R121" s="20">
        <v>0.05</v>
      </c>
      <c r="S121" s="19">
        <v>23</v>
      </c>
      <c r="T121" s="20">
        <v>23</v>
      </c>
      <c r="U121" s="19">
        <v>24</v>
      </c>
      <c r="V121" s="20">
        <v>24</v>
      </c>
      <c r="W121" s="19">
        <v>3.3</v>
      </c>
      <c r="X121" s="39">
        <v>3.3</v>
      </c>
      <c r="Y121" s="83"/>
      <c r="Z121" s="37"/>
      <c r="AA121" s="37"/>
      <c r="AB121" s="37"/>
      <c r="AC121" s="22"/>
      <c r="AD121" s="22"/>
      <c r="AE121" s="22"/>
      <c r="AF121" s="22"/>
      <c r="AG121" s="22"/>
    </row>
    <row r="122" spans="1:24" s="32" customFormat="1" ht="26.25" customHeight="1">
      <c r="A122" s="132" t="s">
        <v>102</v>
      </c>
      <c r="B122" s="17" t="s">
        <v>103</v>
      </c>
      <c r="C122" s="18" t="s">
        <v>104</v>
      </c>
      <c r="D122" s="18" t="s">
        <v>105</v>
      </c>
      <c r="E122" s="19">
        <v>44.8</v>
      </c>
      <c r="F122" s="19">
        <v>33.96</v>
      </c>
      <c r="G122" s="19">
        <v>27.33</v>
      </c>
      <c r="H122" s="20">
        <v>20.33</v>
      </c>
      <c r="I122" s="20">
        <v>13.87</v>
      </c>
      <c r="J122" s="20">
        <v>11.37</v>
      </c>
      <c r="K122" s="20">
        <v>48.79</v>
      </c>
      <c r="L122" s="20">
        <v>36.29</v>
      </c>
      <c r="M122" s="20">
        <v>429.31</v>
      </c>
      <c r="N122" s="20">
        <v>328.81</v>
      </c>
      <c r="O122" s="115">
        <v>0.14</v>
      </c>
      <c r="P122" s="115">
        <v>0.11</v>
      </c>
      <c r="Q122" s="20">
        <v>0.1</v>
      </c>
      <c r="R122" s="115">
        <v>0.07</v>
      </c>
      <c r="S122" s="115">
        <v>0.57</v>
      </c>
      <c r="T122" s="115">
        <v>0.42</v>
      </c>
      <c r="U122" s="20">
        <v>170.14</v>
      </c>
      <c r="V122" s="20">
        <v>160.13</v>
      </c>
      <c r="W122" s="115">
        <v>0.72</v>
      </c>
      <c r="X122" s="115">
        <v>0.56</v>
      </c>
    </row>
    <row r="123" spans="1:31" ht="15" customHeight="1">
      <c r="A123" s="132" t="s">
        <v>97</v>
      </c>
      <c r="B123" s="23" t="s">
        <v>98</v>
      </c>
      <c r="C123" s="18" t="s">
        <v>21</v>
      </c>
      <c r="D123" s="18" t="s">
        <v>22</v>
      </c>
      <c r="E123" s="19">
        <v>0.41</v>
      </c>
      <c r="F123" s="19">
        <v>0.3</v>
      </c>
      <c r="G123" s="19">
        <v>0.18</v>
      </c>
      <c r="H123" s="20">
        <v>0.13</v>
      </c>
      <c r="I123" s="19">
        <f>J123*200/150</f>
        <v>0</v>
      </c>
      <c r="J123" s="20">
        <v>0</v>
      </c>
      <c r="K123" s="19">
        <v>4.78</v>
      </c>
      <c r="L123" s="20">
        <v>3.58</v>
      </c>
      <c r="M123" s="19">
        <v>19.9</v>
      </c>
      <c r="N123" s="20">
        <v>14.92</v>
      </c>
      <c r="O123" s="19">
        <f>P123*200/150</f>
        <v>0.013333333333333334</v>
      </c>
      <c r="P123" s="29">
        <v>0.01</v>
      </c>
      <c r="Q123" s="19">
        <f>R123*200/150</f>
        <v>0.013333333333333334</v>
      </c>
      <c r="R123" s="29">
        <v>0.01</v>
      </c>
      <c r="S123" s="19">
        <v>0.04</v>
      </c>
      <c r="T123" s="29">
        <v>0.03</v>
      </c>
      <c r="U123" s="19">
        <f>V123*200/150</f>
        <v>5.053333333333334</v>
      </c>
      <c r="V123" s="29">
        <v>3.79</v>
      </c>
      <c r="W123" s="19">
        <f>X123*200/150</f>
        <v>0.84</v>
      </c>
      <c r="X123" s="79">
        <v>0.63</v>
      </c>
      <c r="Y123" s="22"/>
      <c r="Z123" s="22"/>
      <c r="AA123" s="22"/>
      <c r="AB123" s="22"/>
      <c r="AC123" s="22"/>
      <c r="AD123" s="22"/>
      <c r="AE123" s="22"/>
    </row>
    <row r="124" spans="1:31" s="68" customFormat="1" ht="15" customHeight="1">
      <c r="A124" s="131"/>
      <c r="B124" s="59" t="s">
        <v>30</v>
      </c>
      <c r="C124" s="60" t="s">
        <v>31</v>
      </c>
      <c r="D124" s="60" t="s">
        <v>31</v>
      </c>
      <c r="E124" s="61">
        <v>1.11</v>
      </c>
      <c r="F124" s="61">
        <v>1.11</v>
      </c>
      <c r="G124" s="61">
        <v>1.6</v>
      </c>
      <c r="H124" s="61">
        <v>1.6</v>
      </c>
      <c r="I124" s="61">
        <v>0.4</v>
      </c>
      <c r="J124" s="61">
        <v>0.4</v>
      </c>
      <c r="K124" s="61">
        <v>10</v>
      </c>
      <c r="L124" s="61">
        <v>10</v>
      </c>
      <c r="M124" s="62">
        <v>54</v>
      </c>
      <c r="N124" s="62">
        <v>54</v>
      </c>
      <c r="O124" s="65">
        <v>0.04</v>
      </c>
      <c r="P124" s="66">
        <v>0.04</v>
      </c>
      <c r="Q124" s="65">
        <v>0.02</v>
      </c>
      <c r="R124" s="66">
        <v>0.02</v>
      </c>
      <c r="S124" s="65">
        <v>0</v>
      </c>
      <c r="T124" s="66">
        <v>0</v>
      </c>
      <c r="U124" s="65">
        <v>7.4</v>
      </c>
      <c r="V124" s="66">
        <v>7.4</v>
      </c>
      <c r="W124" s="65">
        <v>0.56</v>
      </c>
      <c r="X124" s="66">
        <v>0.56</v>
      </c>
      <c r="Y124" s="67"/>
      <c r="Z124" s="67"/>
      <c r="AA124" s="67"/>
      <c r="AB124" s="67"/>
      <c r="AC124" s="67"/>
      <c r="AD124" s="67"/>
      <c r="AE124" s="67"/>
    </row>
    <row r="125" spans="1:32" ht="15" customHeight="1">
      <c r="A125" s="16"/>
      <c r="B125" s="17" t="s">
        <v>23</v>
      </c>
      <c r="C125" s="18"/>
      <c r="D125" s="18"/>
      <c r="E125" s="28">
        <f>SUM(E121:E124)</f>
        <v>57.709999999999994</v>
      </c>
      <c r="F125" s="28">
        <f>SUM(F121:F124)</f>
        <v>46.76</v>
      </c>
      <c r="G125" s="28">
        <f aca="true" t="shared" si="32" ref="G125:T125">SUM(G121:G124)</f>
        <v>30.46</v>
      </c>
      <c r="H125" s="28">
        <f t="shared" si="32"/>
        <v>23.41</v>
      </c>
      <c r="I125" s="28">
        <f t="shared" si="32"/>
        <v>14.27</v>
      </c>
      <c r="J125" s="28">
        <f t="shared" si="32"/>
        <v>11.77</v>
      </c>
      <c r="K125" s="28">
        <f t="shared" si="32"/>
        <v>75.72</v>
      </c>
      <c r="L125" s="28">
        <f t="shared" si="32"/>
        <v>62.019999999999996</v>
      </c>
      <c r="M125" s="28">
        <f t="shared" si="32"/>
        <v>567.71</v>
      </c>
      <c r="N125" s="28">
        <f t="shared" si="32"/>
        <v>462.23</v>
      </c>
      <c r="O125" s="28">
        <f t="shared" si="32"/>
        <v>0.21333333333333335</v>
      </c>
      <c r="P125" s="28">
        <f t="shared" si="32"/>
        <v>0.18000000000000002</v>
      </c>
      <c r="Q125" s="28">
        <f t="shared" si="32"/>
        <v>0.18666666666666668</v>
      </c>
      <c r="R125" s="28">
        <f t="shared" si="32"/>
        <v>0.15</v>
      </c>
      <c r="S125" s="28">
        <f t="shared" si="32"/>
        <v>23.61</v>
      </c>
      <c r="T125" s="28">
        <f t="shared" si="32"/>
        <v>23.450000000000003</v>
      </c>
      <c r="U125" s="28">
        <f aca="true" t="shared" si="33" ref="U125:AB125">SUM(U121:U124)</f>
        <v>206.59333333333333</v>
      </c>
      <c r="V125" s="28">
        <f t="shared" si="33"/>
        <v>195.32</v>
      </c>
      <c r="W125" s="28">
        <f t="shared" si="33"/>
        <v>5.42</v>
      </c>
      <c r="X125" s="28">
        <f t="shared" si="33"/>
        <v>5.050000000000001</v>
      </c>
      <c r="Y125" s="28">
        <f t="shared" si="33"/>
        <v>0</v>
      </c>
      <c r="Z125" s="28">
        <f t="shared" si="33"/>
        <v>0</v>
      </c>
      <c r="AA125" s="28">
        <f t="shared" si="33"/>
        <v>0</v>
      </c>
      <c r="AB125" s="28">
        <f t="shared" si="33"/>
        <v>0</v>
      </c>
      <c r="AC125" s="75"/>
      <c r="AD125" s="22"/>
      <c r="AE125" s="22"/>
      <c r="AF125" s="22"/>
    </row>
    <row r="126" spans="1:32" ht="15" customHeight="1">
      <c r="A126" s="16"/>
      <c r="B126" s="17" t="s">
        <v>37</v>
      </c>
      <c r="C126" s="18"/>
      <c r="D126" s="18"/>
      <c r="E126" s="28">
        <f>E125+E119+E116+E107+E104</f>
        <v>135.52999999999997</v>
      </c>
      <c r="F126" s="28">
        <f>F125+F119+F116+F107+F104</f>
        <v>118.03999999999999</v>
      </c>
      <c r="G126" s="28">
        <f aca="true" t="shared" si="34" ref="G126:T126">G125+G119+G116+G107+G104</f>
        <v>67.04</v>
      </c>
      <c r="H126" s="28">
        <f t="shared" si="34"/>
        <v>57.53</v>
      </c>
      <c r="I126" s="28">
        <f t="shared" si="34"/>
        <v>59.973076923076924</v>
      </c>
      <c r="J126" s="28">
        <f t="shared" si="34"/>
        <v>51.556</v>
      </c>
      <c r="K126" s="28">
        <f t="shared" si="34"/>
        <v>246.01384615384615</v>
      </c>
      <c r="L126" s="28">
        <f t="shared" si="34"/>
        <v>205.44</v>
      </c>
      <c r="M126" s="28">
        <f t="shared" si="34"/>
        <v>1798.9900000000002</v>
      </c>
      <c r="N126" s="28">
        <f t="shared" si="34"/>
        <v>1522.6100000000001</v>
      </c>
      <c r="O126" s="28">
        <f t="shared" si="34"/>
        <v>0.8753333333333333</v>
      </c>
      <c r="P126" s="28">
        <f t="shared" si="34"/>
        <v>0.7550000000000001</v>
      </c>
      <c r="Q126" s="28">
        <f t="shared" si="34"/>
        <v>1.1246666666666667</v>
      </c>
      <c r="R126" s="28">
        <f t="shared" si="34"/>
        <v>1.0125000000000002</v>
      </c>
      <c r="S126" s="28">
        <f t="shared" si="34"/>
        <v>88.37134615384616</v>
      </c>
      <c r="T126" s="28">
        <f t="shared" si="34"/>
        <v>78.06500000000001</v>
      </c>
      <c r="U126" s="28">
        <f>U125+U119+U116+U107+U104</f>
        <v>872.7853333333335</v>
      </c>
      <c r="V126" s="28">
        <f>V125+V119+V116+V107+V104</f>
        <v>777.585</v>
      </c>
      <c r="W126" s="28">
        <f>W125+W119+W116+W107+W104</f>
        <v>9.636000000000001</v>
      </c>
      <c r="X126" s="78">
        <f>X125+X119+X116+X107+X104</f>
        <v>7.472500000000001</v>
      </c>
      <c r="Y126" s="75"/>
      <c r="Z126" s="75"/>
      <c r="AA126" s="75"/>
      <c r="AB126" s="75"/>
      <c r="AC126" s="75"/>
      <c r="AD126" s="22"/>
      <c r="AE126" s="22"/>
      <c r="AF126" s="22"/>
    </row>
    <row r="127" spans="1:32" ht="15" customHeight="1">
      <c r="A127" s="16"/>
      <c r="B127" s="88" t="s">
        <v>179</v>
      </c>
      <c r="C127" s="18"/>
      <c r="D127" s="18"/>
      <c r="E127" s="19"/>
      <c r="F127" s="28"/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9"/>
      <c r="U127" s="29"/>
      <c r="V127" s="29"/>
      <c r="W127" s="29"/>
      <c r="X127" s="79"/>
      <c r="Y127" s="22"/>
      <c r="Z127" s="37"/>
      <c r="AA127" s="37"/>
      <c r="AB127" s="37"/>
      <c r="AC127" s="22"/>
      <c r="AD127" s="22"/>
      <c r="AE127" s="22"/>
      <c r="AF127" s="22"/>
    </row>
    <row r="128" spans="1:32" ht="15" customHeight="1">
      <c r="A128" s="16"/>
      <c r="B128" s="90" t="s">
        <v>51</v>
      </c>
      <c r="C128" s="18"/>
      <c r="D128" s="18"/>
      <c r="E128" s="19"/>
      <c r="F128" s="19"/>
      <c r="G128" s="19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9"/>
      <c r="U128" s="29"/>
      <c r="V128" s="29"/>
      <c r="W128" s="29"/>
      <c r="X128" s="79"/>
      <c r="Y128" s="22"/>
      <c r="Z128" s="37"/>
      <c r="AA128" s="37"/>
      <c r="AB128" s="37"/>
      <c r="AC128" s="22"/>
      <c r="AD128" s="22"/>
      <c r="AE128" s="22"/>
      <c r="AF128" s="22"/>
    </row>
    <row r="129" spans="1:30" s="32" customFormat="1" ht="14.25" customHeight="1">
      <c r="A129" s="131" t="s">
        <v>69</v>
      </c>
      <c r="B129" s="59" t="s">
        <v>127</v>
      </c>
      <c r="C129" s="60" t="s">
        <v>128</v>
      </c>
      <c r="D129" s="60" t="s">
        <v>128</v>
      </c>
      <c r="E129" s="61">
        <v>6.88</v>
      </c>
      <c r="F129" s="61">
        <v>6.88</v>
      </c>
      <c r="G129" s="61">
        <v>2.93</v>
      </c>
      <c r="H129" s="62">
        <v>2.93</v>
      </c>
      <c r="I129" s="61">
        <v>6.05</v>
      </c>
      <c r="J129" s="62">
        <v>6.05</v>
      </c>
      <c r="K129" s="61">
        <v>10.4</v>
      </c>
      <c r="L129" s="62">
        <v>10.4</v>
      </c>
      <c r="M129" s="61">
        <v>107.77</v>
      </c>
      <c r="N129" s="62">
        <v>107.77</v>
      </c>
      <c r="O129" s="62">
        <v>0.08</v>
      </c>
      <c r="P129" s="62">
        <f>O129*40/60</f>
        <v>0.05333333333333334</v>
      </c>
      <c r="Q129" s="62">
        <v>0.06</v>
      </c>
      <c r="R129" s="62">
        <f>Q129*40/60</f>
        <v>0.04</v>
      </c>
      <c r="S129" s="61">
        <v>0.14</v>
      </c>
      <c r="T129" s="62">
        <v>0.14</v>
      </c>
      <c r="U129" s="62">
        <v>70.8</v>
      </c>
      <c r="V129" s="62">
        <f>U129*40/60</f>
        <v>47.2</v>
      </c>
      <c r="W129" s="62">
        <v>0.81</v>
      </c>
      <c r="X129" s="84">
        <f>W129*40/60</f>
        <v>0.5400000000000001</v>
      </c>
      <c r="Y129" s="82"/>
      <c r="Z129" s="37"/>
      <c r="AA129" s="37"/>
      <c r="AB129" s="37"/>
      <c r="AC129" s="37"/>
      <c r="AD129" s="37"/>
    </row>
    <row r="130" spans="1:31" ht="15" customHeight="1">
      <c r="A130" s="132" t="s">
        <v>64</v>
      </c>
      <c r="B130" s="17" t="s">
        <v>65</v>
      </c>
      <c r="C130" s="18" t="s">
        <v>66</v>
      </c>
      <c r="D130" s="18" t="s">
        <v>66</v>
      </c>
      <c r="E130" s="19">
        <v>5.5</v>
      </c>
      <c r="F130" s="19">
        <v>5.5</v>
      </c>
      <c r="G130" s="19">
        <v>5.1</v>
      </c>
      <c r="H130" s="19">
        <v>5.1</v>
      </c>
      <c r="I130" s="20">
        <v>4.6</v>
      </c>
      <c r="J130" s="20">
        <v>4.6</v>
      </c>
      <c r="K130" s="20">
        <v>0.3</v>
      </c>
      <c r="L130" s="20">
        <v>0.3</v>
      </c>
      <c r="M130" s="20">
        <v>63</v>
      </c>
      <c r="N130" s="20">
        <v>63</v>
      </c>
      <c r="O130" s="27">
        <v>0.03</v>
      </c>
      <c r="P130" s="27">
        <v>0.03</v>
      </c>
      <c r="Q130" s="27">
        <v>0.18</v>
      </c>
      <c r="R130" s="27">
        <v>0.18</v>
      </c>
      <c r="S130" s="27">
        <v>0</v>
      </c>
      <c r="T130" s="27">
        <v>0</v>
      </c>
      <c r="U130" s="27">
        <v>22</v>
      </c>
      <c r="V130" s="27">
        <v>22</v>
      </c>
      <c r="W130" s="27">
        <v>1.08</v>
      </c>
      <c r="X130" s="80">
        <v>1.08</v>
      </c>
      <c r="Y130" s="22"/>
      <c r="Z130" s="22"/>
      <c r="AA130" s="22"/>
      <c r="AB130" s="22"/>
      <c r="AC130" s="22"/>
      <c r="AD130" s="22"/>
      <c r="AE130" s="22"/>
    </row>
    <row r="131" spans="1:32" ht="27" customHeight="1">
      <c r="A131" s="132" t="s">
        <v>82</v>
      </c>
      <c r="B131" s="17" t="s">
        <v>106</v>
      </c>
      <c r="C131" s="18" t="s">
        <v>21</v>
      </c>
      <c r="D131" s="18" t="s">
        <v>22</v>
      </c>
      <c r="E131" s="19">
        <v>6.69</v>
      </c>
      <c r="F131" s="19">
        <v>5.02</v>
      </c>
      <c r="G131" s="19">
        <v>5.6</v>
      </c>
      <c r="H131" s="19">
        <v>4.2</v>
      </c>
      <c r="I131" s="19">
        <v>5.2</v>
      </c>
      <c r="J131" s="19">
        <f>I131*150/200</f>
        <v>3.9</v>
      </c>
      <c r="K131" s="19">
        <v>18.8</v>
      </c>
      <c r="L131" s="19">
        <f>K131*150/200</f>
        <v>14.1</v>
      </c>
      <c r="M131" s="19">
        <v>144.4</v>
      </c>
      <c r="N131" s="19">
        <f>M131*150/200</f>
        <v>108.3</v>
      </c>
      <c r="O131" s="20">
        <v>0.06</v>
      </c>
      <c r="P131" s="19">
        <f>O131*150/200</f>
        <v>0.045</v>
      </c>
      <c r="Q131" s="20">
        <v>0.15</v>
      </c>
      <c r="R131" s="19">
        <f>Q131*150/200</f>
        <v>0.1125</v>
      </c>
      <c r="S131" s="20">
        <v>0.9</v>
      </c>
      <c r="T131" s="19">
        <v>0.67</v>
      </c>
      <c r="U131" s="20">
        <v>125.06</v>
      </c>
      <c r="V131" s="19">
        <f>U131*150/200</f>
        <v>93.795</v>
      </c>
      <c r="W131" s="20">
        <v>0.35</v>
      </c>
      <c r="X131" s="109">
        <f>W131*150/200</f>
        <v>0.2625</v>
      </c>
      <c r="Y131" s="22"/>
      <c r="Z131" s="22"/>
      <c r="AA131" s="22"/>
      <c r="AB131" s="22"/>
      <c r="AC131" s="22"/>
      <c r="AD131" s="22"/>
      <c r="AE131" s="22"/>
      <c r="AF131" s="22"/>
    </row>
    <row r="132" spans="1:31" ht="15" customHeight="1">
      <c r="A132" s="131" t="s">
        <v>46</v>
      </c>
      <c r="B132" s="59" t="s">
        <v>47</v>
      </c>
      <c r="C132" s="60" t="s">
        <v>26</v>
      </c>
      <c r="D132" s="60" t="s">
        <v>22</v>
      </c>
      <c r="E132" s="61">
        <v>5.85</v>
      </c>
      <c r="F132" s="61">
        <v>4.87</v>
      </c>
      <c r="G132" s="63">
        <v>2.95</v>
      </c>
      <c r="H132" s="63">
        <v>2.46</v>
      </c>
      <c r="I132" s="63">
        <v>3.24</v>
      </c>
      <c r="J132" s="63">
        <v>2.7</v>
      </c>
      <c r="K132" s="63">
        <v>22.82</v>
      </c>
      <c r="L132" s="63">
        <v>19.02</v>
      </c>
      <c r="M132" s="63">
        <v>132.26</v>
      </c>
      <c r="N132" s="62">
        <v>110.22</v>
      </c>
      <c r="O132" s="63">
        <f>P132*180/150</f>
        <v>0.024</v>
      </c>
      <c r="P132" s="69">
        <v>0.02</v>
      </c>
      <c r="Q132" s="63">
        <f>R132*180/150</f>
        <v>0.12</v>
      </c>
      <c r="R132" s="69">
        <v>0.1</v>
      </c>
      <c r="S132" s="63">
        <v>1.43</v>
      </c>
      <c r="T132" s="69">
        <v>1.2</v>
      </c>
      <c r="U132" s="63">
        <f>V132*180/150</f>
        <v>109.58399999999999</v>
      </c>
      <c r="V132" s="69">
        <v>91.32</v>
      </c>
      <c r="W132" s="63">
        <f>X132*180/150</f>
        <v>0.36</v>
      </c>
      <c r="X132" s="69">
        <v>0.3</v>
      </c>
      <c r="Y132" s="22"/>
      <c r="Z132" s="22"/>
      <c r="AA132" s="22"/>
      <c r="AB132" s="22"/>
      <c r="AC132" s="22"/>
      <c r="AD132" s="22"/>
      <c r="AE132" s="22"/>
    </row>
    <row r="133" spans="1:32" ht="15" customHeight="1">
      <c r="A133" s="16"/>
      <c r="B133" s="17" t="s">
        <v>23</v>
      </c>
      <c r="C133" s="18"/>
      <c r="D133" s="18"/>
      <c r="E133" s="28">
        <f>SUM(E129:E132)</f>
        <v>24.92</v>
      </c>
      <c r="F133" s="28">
        <f>SUM(F129:F132)</f>
        <v>22.27</v>
      </c>
      <c r="G133" s="28">
        <f aca="true" t="shared" si="35" ref="G133:T133">SUM(G129:G132)</f>
        <v>16.58</v>
      </c>
      <c r="H133" s="28">
        <f t="shared" si="35"/>
        <v>14.690000000000001</v>
      </c>
      <c r="I133" s="28">
        <f t="shared" si="35"/>
        <v>19.089999999999996</v>
      </c>
      <c r="J133" s="28">
        <f t="shared" si="35"/>
        <v>17.25</v>
      </c>
      <c r="K133" s="28">
        <f t="shared" si="35"/>
        <v>52.32</v>
      </c>
      <c r="L133" s="28">
        <f t="shared" si="35"/>
        <v>43.82</v>
      </c>
      <c r="M133" s="28">
        <f t="shared" si="35"/>
        <v>447.42999999999995</v>
      </c>
      <c r="N133" s="28">
        <f t="shared" si="35"/>
        <v>389.28999999999996</v>
      </c>
      <c r="O133" s="28">
        <f t="shared" si="35"/>
        <v>0.19399999999999998</v>
      </c>
      <c r="P133" s="28">
        <f t="shared" si="35"/>
        <v>0.14833333333333334</v>
      </c>
      <c r="Q133" s="28">
        <f t="shared" si="35"/>
        <v>0.51</v>
      </c>
      <c r="R133" s="28">
        <f t="shared" si="35"/>
        <v>0.4325</v>
      </c>
      <c r="S133" s="28">
        <f t="shared" si="35"/>
        <v>2.4699999999999998</v>
      </c>
      <c r="T133" s="28">
        <f t="shared" si="35"/>
        <v>2.01</v>
      </c>
      <c r="U133" s="28">
        <f>SUM(U129:U132)</f>
        <v>327.444</v>
      </c>
      <c r="V133" s="28">
        <f>SUM(V129:V132)</f>
        <v>254.315</v>
      </c>
      <c r="W133" s="28">
        <f>SUM(W129:W132)</f>
        <v>2.6</v>
      </c>
      <c r="X133" s="28">
        <f>SUM(X129:X132)</f>
        <v>2.1825</v>
      </c>
      <c r="Y133" s="85">
        <f>SUM(Y129:Y132)</f>
        <v>0</v>
      </c>
      <c r="Z133" s="75"/>
      <c r="AA133" s="75"/>
      <c r="AB133" s="75"/>
      <c r="AC133" s="75"/>
      <c r="AD133" s="22"/>
      <c r="AE133" s="22"/>
      <c r="AF133" s="22"/>
    </row>
    <row r="134" spans="1:32" ht="15" customHeight="1">
      <c r="A134" s="16"/>
      <c r="B134" s="90" t="s">
        <v>52</v>
      </c>
      <c r="C134" s="18"/>
      <c r="D134" s="18"/>
      <c r="E134" s="19"/>
      <c r="F134" s="19"/>
      <c r="G134" s="19"/>
      <c r="H134" s="41"/>
      <c r="I134" s="41"/>
      <c r="J134" s="41"/>
      <c r="K134" s="41"/>
      <c r="L134" s="41"/>
      <c r="M134" s="41"/>
      <c r="N134" s="41"/>
      <c r="O134" s="29"/>
      <c r="P134" s="29"/>
      <c r="Q134" s="29"/>
      <c r="R134" s="29"/>
      <c r="S134" s="29"/>
      <c r="T134" s="29"/>
      <c r="U134" s="29"/>
      <c r="V134" s="29"/>
      <c r="W134" s="29"/>
      <c r="X134" s="79"/>
      <c r="Y134" s="22"/>
      <c r="Z134" s="37"/>
      <c r="AA134" s="37"/>
      <c r="AB134" s="37"/>
      <c r="AC134" s="22"/>
      <c r="AD134" s="22"/>
      <c r="AE134" s="22"/>
      <c r="AF134" s="22"/>
    </row>
    <row r="135" spans="1:30" ht="15" customHeight="1">
      <c r="A135" s="132" t="s">
        <v>43</v>
      </c>
      <c r="B135" s="17" t="s">
        <v>74</v>
      </c>
      <c r="C135" s="18" t="s">
        <v>147</v>
      </c>
      <c r="D135" s="18" t="s">
        <v>173</v>
      </c>
      <c r="E135" s="19">
        <v>14</v>
      </c>
      <c r="F135" s="19">
        <v>11.53</v>
      </c>
      <c r="G135" s="25">
        <f>H135*170/140</f>
        <v>5.1</v>
      </c>
      <c r="H135" s="25">
        <v>4.2</v>
      </c>
      <c r="I135" s="25">
        <f>J135*170/140</f>
        <v>4.25</v>
      </c>
      <c r="J135" s="25">
        <v>3.5</v>
      </c>
      <c r="K135" s="25">
        <f>L135*170/140</f>
        <v>6.799999999999999</v>
      </c>
      <c r="L135" s="25">
        <v>5.6</v>
      </c>
      <c r="M135" s="25">
        <f>N135*170/140</f>
        <v>85.85</v>
      </c>
      <c r="N135" s="25">
        <v>70.7</v>
      </c>
      <c r="O135" s="25">
        <f>P135*180/150</f>
        <v>0.06</v>
      </c>
      <c r="P135" s="25">
        <v>0.05</v>
      </c>
      <c r="Q135" s="25">
        <f>R135*180/150</f>
        <v>0.31200000000000006</v>
      </c>
      <c r="R135" s="25">
        <v>0.26</v>
      </c>
      <c r="S135" s="25">
        <f>T135*170/140</f>
        <v>3.3999999999999995</v>
      </c>
      <c r="T135" s="25">
        <v>2.8</v>
      </c>
      <c r="U135" s="61">
        <v>235.31</v>
      </c>
      <c r="V135" s="62">
        <f>U135*150/180</f>
        <v>196.09166666666667</v>
      </c>
      <c r="W135" s="61">
        <v>0.19</v>
      </c>
      <c r="X135" s="84">
        <f>W135*150/180</f>
        <v>0.15833333333333333</v>
      </c>
      <c r="Y135" s="82"/>
      <c r="Z135" s="37"/>
      <c r="AA135" s="37"/>
      <c r="AB135" s="37"/>
      <c r="AC135" s="37"/>
      <c r="AD135" s="37"/>
    </row>
    <row r="136" spans="1:32" ht="15" customHeight="1">
      <c r="A136" s="16"/>
      <c r="B136" s="17" t="s">
        <v>23</v>
      </c>
      <c r="C136" s="18"/>
      <c r="D136" s="18"/>
      <c r="E136" s="28">
        <f>SUM(E135)</f>
        <v>14</v>
      </c>
      <c r="F136" s="28">
        <f>SUM(F135)</f>
        <v>11.53</v>
      </c>
      <c r="G136" s="28">
        <f aca="true" t="shared" si="36" ref="G136:T136">SUM(G135)</f>
        <v>5.1</v>
      </c>
      <c r="H136" s="28">
        <f t="shared" si="36"/>
        <v>4.2</v>
      </c>
      <c r="I136" s="28">
        <f t="shared" si="36"/>
        <v>4.25</v>
      </c>
      <c r="J136" s="28">
        <f t="shared" si="36"/>
        <v>3.5</v>
      </c>
      <c r="K136" s="28">
        <f t="shared" si="36"/>
        <v>6.799999999999999</v>
      </c>
      <c r="L136" s="28">
        <f t="shared" si="36"/>
        <v>5.6</v>
      </c>
      <c r="M136" s="28">
        <f t="shared" si="36"/>
        <v>85.85</v>
      </c>
      <c r="N136" s="28">
        <f t="shared" si="36"/>
        <v>70.7</v>
      </c>
      <c r="O136" s="28">
        <f t="shared" si="36"/>
        <v>0.06</v>
      </c>
      <c r="P136" s="28">
        <f t="shared" si="36"/>
        <v>0.05</v>
      </c>
      <c r="Q136" s="28">
        <f t="shared" si="36"/>
        <v>0.31200000000000006</v>
      </c>
      <c r="R136" s="28">
        <f t="shared" si="36"/>
        <v>0.26</v>
      </c>
      <c r="S136" s="28">
        <f t="shared" si="36"/>
        <v>3.3999999999999995</v>
      </c>
      <c r="T136" s="28">
        <f t="shared" si="36"/>
        <v>2.8</v>
      </c>
      <c r="U136" s="28">
        <f>SUM(U135)</f>
        <v>235.31</v>
      </c>
      <c r="V136" s="28">
        <f>SUM(V135)</f>
        <v>196.09166666666667</v>
      </c>
      <c r="W136" s="28">
        <f>SUM(W135)</f>
        <v>0.19</v>
      </c>
      <c r="X136" s="78">
        <f>SUM(X135)</f>
        <v>0.15833333333333333</v>
      </c>
      <c r="Y136" s="75"/>
      <c r="Z136" s="75"/>
      <c r="AA136" s="75"/>
      <c r="AB136" s="75"/>
      <c r="AC136" s="75"/>
      <c r="AD136" s="75"/>
      <c r="AE136" s="75"/>
      <c r="AF136" s="75"/>
    </row>
    <row r="137" spans="1:32" ht="15" customHeight="1">
      <c r="A137" s="16"/>
      <c r="B137" s="90" t="s">
        <v>27</v>
      </c>
      <c r="C137" s="18"/>
      <c r="D137" s="18"/>
      <c r="E137" s="19"/>
      <c r="F137" s="19"/>
      <c r="G137" s="19"/>
      <c r="H137" s="20"/>
      <c r="I137" s="20"/>
      <c r="J137" s="20"/>
      <c r="K137" s="20"/>
      <c r="L137" s="20"/>
      <c r="M137" s="20"/>
      <c r="N137" s="20"/>
      <c r="O137" s="29"/>
      <c r="P137" s="29"/>
      <c r="Q137" s="29"/>
      <c r="R137" s="29"/>
      <c r="S137" s="29"/>
      <c r="T137" s="29"/>
      <c r="U137" s="29"/>
      <c r="V137" s="29"/>
      <c r="W137" s="29"/>
      <c r="X137" s="79"/>
      <c r="Y137" s="22"/>
      <c r="Z137" s="37"/>
      <c r="AA137" s="37"/>
      <c r="AB137" s="37"/>
      <c r="AC137" s="22"/>
      <c r="AD137" s="22"/>
      <c r="AE137" s="22"/>
      <c r="AF137" s="22"/>
    </row>
    <row r="138" spans="1:29" ht="16.5" customHeight="1">
      <c r="A138" s="132" t="s">
        <v>149</v>
      </c>
      <c r="B138" s="59" t="s">
        <v>150</v>
      </c>
      <c r="C138" s="60" t="s">
        <v>29</v>
      </c>
      <c r="D138" s="60" t="s">
        <v>115</v>
      </c>
      <c r="E138" s="61">
        <v>1.64</v>
      </c>
      <c r="F138" s="61">
        <v>1.09</v>
      </c>
      <c r="G138" s="61">
        <f>H138*75/50</f>
        <v>0.75</v>
      </c>
      <c r="H138" s="62">
        <v>0.5</v>
      </c>
      <c r="I138" s="61">
        <f>J138*75/50</f>
        <v>0.09</v>
      </c>
      <c r="J138" s="62">
        <v>0.06</v>
      </c>
      <c r="K138" s="61">
        <f>L138*75/50</f>
        <v>8.7</v>
      </c>
      <c r="L138" s="62">
        <v>5.8</v>
      </c>
      <c r="M138" s="61">
        <f>N138*75/50</f>
        <v>37.5</v>
      </c>
      <c r="N138" s="62">
        <v>25</v>
      </c>
      <c r="O138" s="62">
        <v>0.02</v>
      </c>
      <c r="P138" s="62">
        <f>O138*45/60</f>
        <v>0.015000000000000001</v>
      </c>
      <c r="Q138" s="62">
        <v>0.02</v>
      </c>
      <c r="R138" s="62">
        <f>Q138*45/60</f>
        <v>0.015000000000000001</v>
      </c>
      <c r="S138" s="61">
        <f>T138*75/50</f>
        <v>3.6</v>
      </c>
      <c r="T138" s="62">
        <v>2.4</v>
      </c>
      <c r="U138" s="62">
        <v>6.13</v>
      </c>
      <c r="V138" s="62">
        <f>U138*45/60</f>
        <v>4.5975</v>
      </c>
      <c r="W138" s="62">
        <v>1.04</v>
      </c>
      <c r="X138" s="62">
        <f>W138*45/60</f>
        <v>0.78</v>
      </c>
      <c r="Z138" s="22"/>
      <c r="AA138" s="22"/>
      <c r="AB138" s="22"/>
      <c r="AC138" s="22"/>
    </row>
    <row r="139" spans="1:31" s="31" customFormat="1" ht="25.5">
      <c r="A139" s="132" t="s">
        <v>84</v>
      </c>
      <c r="B139" s="23" t="s">
        <v>169</v>
      </c>
      <c r="C139" s="18" t="s">
        <v>170</v>
      </c>
      <c r="D139" s="18" t="s">
        <v>171</v>
      </c>
      <c r="E139" s="19">
        <v>13.75</v>
      </c>
      <c r="F139" s="19">
        <v>13.11</v>
      </c>
      <c r="G139" s="25">
        <v>5.63</v>
      </c>
      <c r="H139" s="25">
        <v>5.23</v>
      </c>
      <c r="I139" s="25">
        <v>8.94</v>
      </c>
      <c r="J139" s="25">
        <v>8.08</v>
      </c>
      <c r="K139" s="25">
        <v>8.32</v>
      </c>
      <c r="L139" s="25">
        <v>6.32</v>
      </c>
      <c r="M139" s="25">
        <v>136.26</v>
      </c>
      <c r="N139" s="25">
        <v>118.92</v>
      </c>
      <c r="O139" s="20">
        <v>0.11</v>
      </c>
      <c r="P139" s="20">
        <v>0.12</v>
      </c>
      <c r="Q139" s="20">
        <v>0.09</v>
      </c>
      <c r="R139" s="20">
        <v>0.1</v>
      </c>
      <c r="S139" s="25">
        <v>15.08</v>
      </c>
      <c r="T139" s="20">
        <v>11.38</v>
      </c>
      <c r="U139" s="20">
        <v>27.92</v>
      </c>
      <c r="V139" s="20">
        <v>23.55</v>
      </c>
      <c r="W139" s="20">
        <v>1.84</v>
      </c>
      <c r="X139" s="20">
        <v>2.01</v>
      </c>
      <c r="Z139" s="30"/>
      <c r="AA139" s="30"/>
      <c r="AB139" s="30"/>
      <c r="AC139" s="30"/>
      <c r="AD139" s="30"/>
      <c r="AE139" s="30"/>
    </row>
    <row r="140" spans="1:31" ht="25.5" customHeight="1">
      <c r="A140" s="149" t="s">
        <v>164</v>
      </c>
      <c r="B140" s="64" t="s">
        <v>165</v>
      </c>
      <c r="C140" s="60" t="s">
        <v>92</v>
      </c>
      <c r="D140" s="60" t="s">
        <v>166</v>
      </c>
      <c r="E140" s="61">
        <v>19.77</v>
      </c>
      <c r="F140" s="61">
        <v>16</v>
      </c>
      <c r="G140" s="61">
        <v>18.6</v>
      </c>
      <c r="H140" s="61">
        <f>G140*90/100</f>
        <v>16.740000000000002</v>
      </c>
      <c r="I140" s="61">
        <v>4.4</v>
      </c>
      <c r="J140" s="61">
        <f>I140*90/100</f>
        <v>3.9600000000000004</v>
      </c>
      <c r="K140" s="62">
        <v>3.34</v>
      </c>
      <c r="L140" s="61">
        <f>K140*90/100</f>
        <v>3.006</v>
      </c>
      <c r="M140" s="62">
        <v>127.3</v>
      </c>
      <c r="N140" s="61">
        <f>M140*90/100</f>
        <v>114.57</v>
      </c>
      <c r="O140" s="62">
        <v>0.07</v>
      </c>
      <c r="P140" s="61">
        <v>0.07</v>
      </c>
      <c r="Q140" s="62">
        <v>0.06</v>
      </c>
      <c r="R140" s="61">
        <v>0.06</v>
      </c>
      <c r="S140" s="62">
        <v>0.65</v>
      </c>
      <c r="T140" s="61">
        <f>S140*90/100</f>
        <v>0.585</v>
      </c>
      <c r="U140" s="62">
        <v>10.67</v>
      </c>
      <c r="V140" s="61">
        <v>10.67</v>
      </c>
      <c r="W140" s="62">
        <v>1.35</v>
      </c>
      <c r="X140" s="61">
        <v>1.35</v>
      </c>
      <c r="Z140" s="22"/>
      <c r="AA140" s="22"/>
      <c r="AB140" s="22"/>
      <c r="AC140" s="22"/>
      <c r="AD140" s="22"/>
      <c r="AE140" s="22"/>
    </row>
    <row r="141" spans="1:29" ht="15.75" customHeight="1">
      <c r="A141" s="16" t="s">
        <v>18</v>
      </c>
      <c r="B141" s="23" t="s">
        <v>154</v>
      </c>
      <c r="C141" s="24">
        <v>130</v>
      </c>
      <c r="D141" s="24">
        <v>100</v>
      </c>
      <c r="E141" s="19">
        <v>3.02</v>
      </c>
      <c r="F141" s="19">
        <v>2.32</v>
      </c>
      <c r="G141" s="19">
        <v>3.19</v>
      </c>
      <c r="H141" s="20">
        <f>G141*100/130</f>
        <v>2.453846153846154</v>
      </c>
      <c r="I141" s="19">
        <v>3.01</v>
      </c>
      <c r="J141" s="20">
        <f>I141*100/130</f>
        <v>2.3153846153846156</v>
      </c>
      <c r="K141" s="19">
        <v>18.67</v>
      </c>
      <c r="L141" s="20">
        <f>K141*100/130</f>
        <v>14.361538461538464</v>
      </c>
      <c r="M141" s="19">
        <v>107.23</v>
      </c>
      <c r="N141" s="20">
        <f>M141*100/130</f>
        <v>82.48461538461538</v>
      </c>
      <c r="O141" s="25">
        <v>0.03</v>
      </c>
      <c r="P141" s="20">
        <f>O141*125/150</f>
        <v>0.025</v>
      </c>
      <c r="Q141" s="25">
        <v>0.02</v>
      </c>
      <c r="R141" s="20">
        <f>Q141*125/150</f>
        <v>0.016666666666666666</v>
      </c>
      <c r="S141" s="25">
        <v>0</v>
      </c>
      <c r="T141" s="20">
        <f>S141*125/150</f>
        <v>0</v>
      </c>
      <c r="U141" s="20">
        <f>V141*130/100</f>
        <v>11.973000000000003</v>
      </c>
      <c r="V141" s="20">
        <v>9.21</v>
      </c>
      <c r="W141" s="20">
        <f>X141*130/100</f>
        <v>0.9620000000000001</v>
      </c>
      <c r="X141" s="20">
        <v>0.74</v>
      </c>
      <c r="Y141" s="113"/>
      <c r="Z141" s="114"/>
      <c r="AA141" s="114"/>
      <c r="AB141" s="114"/>
      <c r="AC141" s="22"/>
    </row>
    <row r="142" spans="1:31" ht="27" customHeight="1">
      <c r="A142" s="131" t="s">
        <v>126</v>
      </c>
      <c r="B142" s="59" t="s">
        <v>137</v>
      </c>
      <c r="C142" s="60" t="s">
        <v>21</v>
      </c>
      <c r="D142" s="60" t="s">
        <v>22</v>
      </c>
      <c r="E142" s="61">
        <v>3.36</v>
      </c>
      <c r="F142" s="61">
        <v>2.52</v>
      </c>
      <c r="G142" s="63">
        <v>0.6</v>
      </c>
      <c r="H142" s="69">
        <v>0.45</v>
      </c>
      <c r="I142" s="63">
        <f>J142*200/150</f>
        <v>0</v>
      </c>
      <c r="J142" s="69">
        <v>0</v>
      </c>
      <c r="K142" s="63">
        <v>29</v>
      </c>
      <c r="L142" s="69">
        <v>21.75</v>
      </c>
      <c r="M142" s="63">
        <v>116</v>
      </c>
      <c r="N142" s="69">
        <v>87</v>
      </c>
      <c r="O142" s="62">
        <v>0.02</v>
      </c>
      <c r="P142" s="62">
        <f>O142*150/200</f>
        <v>0.015</v>
      </c>
      <c r="Q142" s="62">
        <v>0.01</v>
      </c>
      <c r="R142" s="62">
        <f>Q142*150/200</f>
        <v>0.0075</v>
      </c>
      <c r="S142" s="62">
        <v>0</v>
      </c>
      <c r="T142" s="20">
        <v>0</v>
      </c>
      <c r="U142" s="20">
        <v>12.3</v>
      </c>
      <c r="V142" s="20">
        <f>U142*150/200</f>
        <v>9.225</v>
      </c>
      <c r="W142" s="39">
        <v>2</v>
      </c>
      <c r="X142" s="77">
        <f>W142*150/200</f>
        <v>1.5</v>
      </c>
      <c r="Y142" s="22"/>
      <c r="Z142" s="22"/>
      <c r="AA142" s="22"/>
      <c r="AB142" s="22"/>
      <c r="AC142" s="22"/>
      <c r="AD142" s="22"/>
      <c r="AE142" s="22"/>
    </row>
    <row r="143" spans="1:31" s="68" customFormat="1" ht="15" customHeight="1">
      <c r="A143" s="131"/>
      <c r="B143" s="59" t="s">
        <v>30</v>
      </c>
      <c r="C143" s="60" t="s">
        <v>31</v>
      </c>
      <c r="D143" s="60" t="s">
        <v>31</v>
      </c>
      <c r="E143" s="61">
        <v>1.11</v>
      </c>
      <c r="F143" s="61">
        <v>1.11</v>
      </c>
      <c r="G143" s="61">
        <v>1.6</v>
      </c>
      <c r="H143" s="61">
        <v>1.6</v>
      </c>
      <c r="I143" s="61">
        <v>0.4</v>
      </c>
      <c r="J143" s="61">
        <v>0.4</v>
      </c>
      <c r="K143" s="61">
        <v>10</v>
      </c>
      <c r="L143" s="61">
        <v>10</v>
      </c>
      <c r="M143" s="62">
        <v>54</v>
      </c>
      <c r="N143" s="62">
        <v>54</v>
      </c>
      <c r="O143" s="65">
        <v>0.04</v>
      </c>
      <c r="P143" s="66">
        <v>0.04</v>
      </c>
      <c r="Q143" s="65">
        <v>0.02</v>
      </c>
      <c r="R143" s="66">
        <v>0.02</v>
      </c>
      <c r="S143" s="65">
        <v>0</v>
      </c>
      <c r="T143" s="66">
        <v>0</v>
      </c>
      <c r="U143" s="65">
        <v>7.4</v>
      </c>
      <c r="V143" s="66">
        <v>7.4</v>
      </c>
      <c r="W143" s="65">
        <v>0.56</v>
      </c>
      <c r="X143" s="66">
        <v>0.56</v>
      </c>
      <c r="Y143" s="67"/>
      <c r="Z143" s="67"/>
      <c r="AA143" s="67"/>
      <c r="AB143" s="67"/>
      <c r="AC143" s="67"/>
      <c r="AD143" s="67"/>
      <c r="AE143" s="67"/>
    </row>
    <row r="144" spans="1:31" ht="15" customHeight="1">
      <c r="A144" s="131"/>
      <c r="B144" s="59" t="s">
        <v>32</v>
      </c>
      <c r="C144" s="60" t="s">
        <v>80</v>
      </c>
      <c r="D144" s="60" t="s">
        <v>81</v>
      </c>
      <c r="E144" s="61">
        <v>2.09</v>
      </c>
      <c r="F144" s="61">
        <v>1.83</v>
      </c>
      <c r="G144" s="61">
        <v>3.25</v>
      </c>
      <c r="H144" s="62">
        <v>2.84</v>
      </c>
      <c r="I144" s="62">
        <v>0.46</v>
      </c>
      <c r="J144" s="62">
        <f>I144*40.6/46</f>
        <v>0.406</v>
      </c>
      <c r="K144" s="62">
        <v>20.88</v>
      </c>
      <c r="L144" s="62">
        <v>18.27</v>
      </c>
      <c r="M144" s="62">
        <v>102.08</v>
      </c>
      <c r="N144" s="62">
        <v>89.32</v>
      </c>
      <c r="O144" s="63">
        <v>0.06</v>
      </c>
      <c r="P144" s="69">
        <v>0.04</v>
      </c>
      <c r="Q144" s="63">
        <v>0.04</v>
      </c>
      <c r="R144" s="69">
        <v>0.03</v>
      </c>
      <c r="S144" s="63">
        <v>0</v>
      </c>
      <c r="T144" s="62">
        <f>S144*40.6/46</f>
        <v>0</v>
      </c>
      <c r="U144" s="65">
        <v>17</v>
      </c>
      <c r="V144" s="66">
        <v>13.6</v>
      </c>
      <c r="W144" s="65">
        <v>1.15</v>
      </c>
      <c r="X144" s="66">
        <v>0.92</v>
      </c>
      <c r="Y144" s="22"/>
      <c r="Z144" s="22"/>
      <c r="AA144" s="22"/>
      <c r="AB144" s="22"/>
      <c r="AC144" s="22"/>
      <c r="AD144" s="22"/>
      <c r="AE144" s="22"/>
    </row>
    <row r="145" spans="1:32" ht="15" customHeight="1">
      <c r="A145" s="16"/>
      <c r="B145" s="17" t="s">
        <v>23</v>
      </c>
      <c r="C145" s="18"/>
      <c r="D145" s="18"/>
      <c r="E145" s="28">
        <f>SUM(E138:E144)</f>
        <v>44.739999999999995</v>
      </c>
      <c r="F145" s="28">
        <f>SUM(F138:F144)</f>
        <v>37.98</v>
      </c>
      <c r="G145" s="28">
        <f>SUM(G138:G144)-2.5</f>
        <v>31.120000000000005</v>
      </c>
      <c r="H145" s="28">
        <f>SUM(H138:H144)-2.5</f>
        <v>27.313846153846157</v>
      </c>
      <c r="I145" s="28">
        <f aca="true" t="shared" si="37" ref="I145:T145">SUM(I138:I144)</f>
        <v>17.299999999999997</v>
      </c>
      <c r="J145" s="28">
        <f t="shared" si="37"/>
        <v>15.221384615384618</v>
      </c>
      <c r="K145" s="28">
        <f>SUM(K138:K144)+6</f>
        <v>104.91</v>
      </c>
      <c r="L145" s="28">
        <f>SUM(L138:L144)+0</f>
        <v>79.50753846153846</v>
      </c>
      <c r="M145" s="28">
        <f>SUM(M138:M144)-0</f>
        <v>680.37</v>
      </c>
      <c r="N145" s="28">
        <f>SUM(N138:N144)-51</f>
        <v>520.2946153846153</v>
      </c>
      <c r="O145" s="28">
        <f t="shared" si="37"/>
        <v>0.35</v>
      </c>
      <c r="P145" s="28">
        <f t="shared" si="37"/>
        <v>0.32499999999999996</v>
      </c>
      <c r="Q145" s="28">
        <f t="shared" si="37"/>
        <v>0.25999999999999995</v>
      </c>
      <c r="R145" s="28">
        <f t="shared" si="37"/>
        <v>0.24916666666666665</v>
      </c>
      <c r="S145" s="28">
        <f t="shared" si="37"/>
        <v>19.33</v>
      </c>
      <c r="T145" s="28">
        <f t="shared" si="37"/>
        <v>14.365000000000002</v>
      </c>
      <c r="U145" s="28">
        <f aca="true" t="shared" si="38" ref="U145:AB145">SUM(U138:U144)</f>
        <v>93.39300000000001</v>
      </c>
      <c r="V145" s="28">
        <f t="shared" si="38"/>
        <v>78.2525</v>
      </c>
      <c r="W145" s="28">
        <f t="shared" si="38"/>
        <v>8.902000000000001</v>
      </c>
      <c r="X145" s="28">
        <f t="shared" si="38"/>
        <v>7.860000000000001</v>
      </c>
      <c r="Y145" s="28">
        <f t="shared" si="38"/>
        <v>0</v>
      </c>
      <c r="Z145" s="28">
        <f t="shared" si="38"/>
        <v>0</v>
      </c>
      <c r="AA145" s="28">
        <f t="shared" si="38"/>
        <v>0</v>
      </c>
      <c r="AB145" s="28">
        <f t="shared" si="38"/>
        <v>0</v>
      </c>
      <c r="AC145" s="75"/>
      <c r="AD145" s="22"/>
      <c r="AE145" s="22"/>
      <c r="AF145" s="22"/>
    </row>
    <row r="146" spans="1:32" ht="15" customHeight="1">
      <c r="A146" s="16"/>
      <c r="B146" s="90" t="s">
        <v>33</v>
      </c>
      <c r="C146" s="18"/>
      <c r="D146" s="18"/>
      <c r="E146" s="19"/>
      <c r="F146" s="19"/>
      <c r="G146" s="19"/>
      <c r="H146" s="20"/>
      <c r="I146" s="20"/>
      <c r="J146" s="20"/>
      <c r="K146" s="20"/>
      <c r="L146" s="20"/>
      <c r="M146" s="20"/>
      <c r="N146" s="20"/>
      <c r="O146" s="29"/>
      <c r="P146" s="29"/>
      <c r="Q146" s="29"/>
      <c r="R146" s="29"/>
      <c r="S146" s="29"/>
      <c r="T146" s="29"/>
      <c r="U146" s="29"/>
      <c r="V146" s="29"/>
      <c r="W146" s="29"/>
      <c r="X146" s="79"/>
      <c r="Y146" s="22"/>
      <c r="Z146" s="37"/>
      <c r="AA146" s="37"/>
      <c r="AB146" s="37"/>
      <c r="AC146" s="22"/>
      <c r="AD146" s="22"/>
      <c r="AE146" s="22"/>
      <c r="AF146" s="22"/>
    </row>
    <row r="147" spans="1:30" ht="26.25" customHeight="1">
      <c r="A147" s="131" t="s">
        <v>34</v>
      </c>
      <c r="B147" s="59" t="s">
        <v>187</v>
      </c>
      <c r="C147" s="60" t="s">
        <v>188</v>
      </c>
      <c r="D147" s="60" t="s">
        <v>190</v>
      </c>
      <c r="E147" s="61">
        <v>13.04</v>
      </c>
      <c r="F147" s="61">
        <v>11.7</v>
      </c>
      <c r="G147" s="116">
        <v>7.69</v>
      </c>
      <c r="H147" s="62">
        <v>6.5</v>
      </c>
      <c r="I147" s="116">
        <v>9.26</v>
      </c>
      <c r="J147" s="62">
        <v>6.88</v>
      </c>
      <c r="K147" s="116">
        <v>32.37</v>
      </c>
      <c r="L147" s="62">
        <v>20.64</v>
      </c>
      <c r="M147" s="116">
        <v>243.58</v>
      </c>
      <c r="N147" s="62">
        <v>170.48</v>
      </c>
      <c r="O147" s="116">
        <v>0.1</v>
      </c>
      <c r="P147" s="62">
        <f>O147*215/230</f>
        <v>0.09347826086956522</v>
      </c>
      <c r="Q147" s="116">
        <v>0.29</v>
      </c>
      <c r="R147" s="62">
        <f>Q147*215/230</f>
        <v>0.2710869565217391</v>
      </c>
      <c r="S147" s="116">
        <v>2.46</v>
      </c>
      <c r="T147" s="62">
        <v>2.46</v>
      </c>
      <c r="U147" s="61">
        <v>275.74</v>
      </c>
      <c r="V147" s="62">
        <v>275.74</v>
      </c>
      <c r="W147" s="61">
        <v>0.23</v>
      </c>
      <c r="X147" s="84">
        <v>0.23</v>
      </c>
      <c r="Y147" s="82"/>
      <c r="Z147" s="37"/>
      <c r="AA147" s="37"/>
      <c r="AB147" s="37"/>
      <c r="AC147" s="37"/>
      <c r="AD147" s="32"/>
    </row>
    <row r="148" spans="1:32" ht="15" customHeight="1">
      <c r="A148" s="16"/>
      <c r="B148" s="17" t="s">
        <v>23</v>
      </c>
      <c r="C148" s="18"/>
      <c r="D148" s="18"/>
      <c r="E148" s="28">
        <f>SUM(E147)</f>
        <v>13.04</v>
      </c>
      <c r="F148" s="28">
        <f>SUM(F147)</f>
        <v>11.7</v>
      </c>
      <c r="G148" s="28">
        <f aca="true" t="shared" si="39" ref="G148:T148">SUM(G147)</f>
        <v>7.69</v>
      </c>
      <c r="H148" s="28">
        <f t="shared" si="39"/>
        <v>6.5</v>
      </c>
      <c r="I148" s="28">
        <f t="shared" si="39"/>
        <v>9.26</v>
      </c>
      <c r="J148" s="28">
        <f t="shared" si="39"/>
        <v>6.88</v>
      </c>
      <c r="K148" s="28">
        <f t="shared" si="39"/>
        <v>32.37</v>
      </c>
      <c r="L148" s="28">
        <f t="shared" si="39"/>
        <v>20.64</v>
      </c>
      <c r="M148" s="28">
        <f t="shared" si="39"/>
        <v>243.58</v>
      </c>
      <c r="N148" s="28">
        <f t="shared" si="39"/>
        <v>170.48</v>
      </c>
      <c r="O148" s="28">
        <f t="shared" si="39"/>
        <v>0.1</v>
      </c>
      <c r="P148" s="28">
        <f t="shared" si="39"/>
        <v>0.09347826086956522</v>
      </c>
      <c r="Q148" s="28">
        <f t="shared" si="39"/>
        <v>0.29</v>
      </c>
      <c r="R148" s="28">
        <f t="shared" si="39"/>
        <v>0.2710869565217391</v>
      </c>
      <c r="S148" s="28">
        <f t="shared" si="39"/>
        <v>2.46</v>
      </c>
      <c r="T148" s="28">
        <f t="shared" si="39"/>
        <v>2.46</v>
      </c>
      <c r="U148" s="28">
        <f>SUM(U147)</f>
        <v>275.74</v>
      </c>
      <c r="V148" s="28">
        <f>SUM(V147)</f>
        <v>275.74</v>
      </c>
      <c r="W148" s="28">
        <f>SUM(W147)</f>
        <v>0.23</v>
      </c>
      <c r="X148" s="78">
        <f>SUM(X147)</f>
        <v>0.23</v>
      </c>
      <c r="Y148" s="75"/>
      <c r="Z148" s="75"/>
      <c r="AA148" s="75"/>
      <c r="AB148" s="75"/>
      <c r="AC148" s="75"/>
      <c r="AD148" s="75"/>
      <c r="AE148" s="22"/>
      <c r="AF148" s="22"/>
    </row>
    <row r="149" spans="1:32" ht="15" customHeight="1">
      <c r="A149" s="16"/>
      <c r="B149" s="90" t="s">
        <v>36</v>
      </c>
      <c r="C149" s="18"/>
      <c r="D149" s="18"/>
      <c r="E149" s="34"/>
      <c r="F149" s="34"/>
      <c r="G149" s="19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77"/>
      <c r="Y149" s="37"/>
      <c r="Z149" s="37"/>
      <c r="AA149" s="37"/>
      <c r="AB149" s="37"/>
      <c r="AC149" s="37"/>
      <c r="AD149" s="22"/>
      <c r="AE149" s="22"/>
      <c r="AF149" s="22"/>
    </row>
    <row r="150" spans="1:33" ht="15" customHeight="1">
      <c r="A150" s="132"/>
      <c r="B150" s="17" t="s">
        <v>156</v>
      </c>
      <c r="C150" s="18" t="s">
        <v>189</v>
      </c>
      <c r="D150" s="18" t="s">
        <v>189</v>
      </c>
      <c r="E150" s="19">
        <v>11.04</v>
      </c>
      <c r="F150" s="19">
        <v>11.04</v>
      </c>
      <c r="G150" s="19">
        <v>1</v>
      </c>
      <c r="H150" s="20">
        <v>1</v>
      </c>
      <c r="I150" s="19">
        <v>0</v>
      </c>
      <c r="J150" s="20">
        <v>0</v>
      </c>
      <c r="K150" s="19">
        <v>9.38</v>
      </c>
      <c r="L150" s="20">
        <v>9.38</v>
      </c>
      <c r="M150" s="19">
        <v>47.5</v>
      </c>
      <c r="N150" s="20">
        <v>47.5</v>
      </c>
      <c r="O150" s="19">
        <v>0.02</v>
      </c>
      <c r="P150" s="20">
        <v>0.02</v>
      </c>
      <c r="Q150" s="19">
        <f>R150*160/150</f>
        <v>0.05333333333333334</v>
      </c>
      <c r="R150" s="20">
        <v>0.05</v>
      </c>
      <c r="S150" s="19">
        <v>47.5</v>
      </c>
      <c r="T150" s="20">
        <v>47.5</v>
      </c>
      <c r="U150" s="19">
        <v>24</v>
      </c>
      <c r="V150" s="20">
        <v>24</v>
      </c>
      <c r="W150" s="19">
        <v>3.3</v>
      </c>
      <c r="X150" s="39">
        <v>3.3</v>
      </c>
      <c r="Y150" s="83"/>
      <c r="Z150" s="22"/>
      <c r="AA150" s="22"/>
      <c r="AB150" s="22"/>
      <c r="AC150" s="22"/>
      <c r="AD150" s="22"/>
      <c r="AE150" s="22"/>
      <c r="AF150" s="22"/>
      <c r="AG150" s="22"/>
    </row>
    <row r="151" spans="1:29" s="36" customFormat="1" ht="25.5" customHeight="1">
      <c r="A151" s="131" t="s">
        <v>117</v>
      </c>
      <c r="B151" s="59" t="s">
        <v>118</v>
      </c>
      <c r="C151" s="60" t="s">
        <v>96</v>
      </c>
      <c r="D151" s="60" t="s">
        <v>67</v>
      </c>
      <c r="E151" s="61">
        <v>10.18</v>
      </c>
      <c r="F151" s="61">
        <v>8.18</v>
      </c>
      <c r="G151" s="61">
        <v>6.12</v>
      </c>
      <c r="H151" s="62">
        <v>4.8</v>
      </c>
      <c r="I151" s="61">
        <v>16.41</v>
      </c>
      <c r="J151" s="62">
        <v>14</v>
      </c>
      <c r="K151" s="61">
        <v>27.9</v>
      </c>
      <c r="L151" s="62">
        <v>20.1</v>
      </c>
      <c r="M151" s="61">
        <v>283.77</v>
      </c>
      <c r="N151" s="62">
        <v>225.6</v>
      </c>
      <c r="O151" s="62">
        <v>0.2</v>
      </c>
      <c r="P151" s="62">
        <v>0.14</v>
      </c>
      <c r="Q151" s="62">
        <v>0.13</v>
      </c>
      <c r="R151" s="62">
        <v>0.1</v>
      </c>
      <c r="S151" s="61">
        <v>13.5</v>
      </c>
      <c r="T151" s="62">
        <v>11.2</v>
      </c>
      <c r="U151" s="62">
        <v>95.29</v>
      </c>
      <c r="V151" s="62">
        <v>73.98</v>
      </c>
      <c r="W151" s="62">
        <v>2.33</v>
      </c>
      <c r="X151" s="84">
        <v>1.57</v>
      </c>
      <c r="Y151" s="107"/>
      <c r="Z151" s="105"/>
      <c r="AA151" s="105"/>
      <c r="AB151" s="105"/>
      <c r="AC151" s="105"/>
    </row>
    <row r="152" spans="1:31" ht="15" customHeight="1">
      <c r="A152" s="132" t="s">
        <v>97</v>
      </c>
      <c r="B152" s="23" t="s">
        <v>98</v>
      </c>
      <c r="C152" s="18" t="s">
        <v>21</v>
      </c>
      <c r="D152" s="18" t="s">
        <v>22</v>
      </c>
      <c r="E152" s="19">
        <v>0.41</v>
      </c>
      <c r="F152" s="19">
        <v>0.3</v>
      </c>
      <c r="G152" s="19">
        <v>0.18</v>
      </c>
      <c r="H152" s="20">
        <v>0.13</v>
      </c>
      <c r="I152" s="19">
        <f>J152*200/150</f>
        <v>0</v>
      </c>
      <c r="J152" s="20">
        <v>0</v>
      </c>
      <c r="K152" s="19">
        <v>4.78</v>
      </c>
      <c r="L152" s="20">
        <v>3.58</v>
      </c>
      <c r="M152" s="19">
        <v>19.9</v>
      </c>
      <c r="N152" s="20">
        <v>14.92</v>
      </c>
      <c r="O152" s="19">
        <f>P152*200/150</f>
        <v>0.013333333333333334</v>
      </c>
      <c r="P152" s="29">
        <v>0.01</v>
      </c>
      <c r="Q152" s="19">
        <f>R152*200/150</f>
        <v>0.013333333333333334</v>
      </c>
      <c r="R152" s="29">
        <v>0.01</v>
      </c>
      <c r="S152" s="19">
        <v>0.04</v>
      </c>
      <c r="T152" s="29">
        <v>0.03</v>
      </c>
      <c r="U152" s="19">
        <f>V152*200/150</f>
        <v>5.053333333333334</v>
      </c>
      <c r="V152" s="29">
        <v>3.79</v>
      </c>
      <c r="W152" s="19">
        <f>X152*200/150</f>
        <v>0.84</v>
      </c>
      <c r="X152" s="79">
        <v>0.63</v>
      </c>
      <c r="Y152" s="22"/>
      <c r="Z152" s="22"/>
      <c r="AA152" s="22"/>
      <c r="AB152" s="22"/>
      <c r="AC152" s="22"/>
      <c r="AD152" s="22"/>
      <c r="AE152" s="22"/>
    </row>
    <row r="153" spans="1:31" s="68" customFormat="1" ht="15" customHeight="1">
      <c r="A153" s="131"/>
      <c r="B153" s="59" t="s">
        <v>30</v>
      </c>
      <c r="C153" s="60" t="s">
        <v>31</v>
      </c>
      <c r="D153" s="60" t="s">
        <v>31</v>
      </c>
      <c r="E153" s="61">
        <v>1.11</v>
      </c>
      <c r="F153" s="61">
        <v>1.11</v>
      </c>
      <c r="G153" s="61">
        <v>1.6</v>
      </c>
      <c r="H153" s="61">
        <v>1.6</v>
      </c>
      <c r="I153" s="61">
        <v>0.4</v>
      </c>
      <c r="J153" s="61">
        <v>0.4</v>
      </c>
      <c r="K153" s="61">
        <v>10</v>
      </c>
      <c r="L153" s="61">
        <v>10</v>
      </c>
      <c r="M153" s="62">
        <v>54</v>
      </c>
      <c r="N153" s="62">
        <v>54</v>
      </c>
      <c r="O153" s="65">
        <v>0.04</v>
      </c>
      <c r="P153" s="66">
        <v>0.04</v>
      </c>
      <c r="Q153" s="65">
        <v>0.02</v>
      </c>
      <c r="R153" s="66">
        <v>0.02</v>
      </c>
      <c r="S153" s="65">
        <v>0</v>
      </c>
      <c r="T153" s="66">
        <v>0</v>
      </c>
      <c r="U153" s="65">
        <v>7.4</v>
      </c>
      <c r="V153" s="66">
        <v>7.4</v>
      </c>
      <c r="W153" s="65">
        <v>0.56</v>
      </c>
      <c r="X153" s="66">
        <v>0.56</v>
      </c>
      <c r="Y153" s="67"/>
      <c r="Z153" s="67"/>
      <c r="AA153" s="67"/>
      <c r="AB153" s="67"/>
      <c r="AC153" s="67"/>
      <c r="AD153" s="67"/>
      <c r="AE153" s="67"/>
    </row>
    <row r="154" spans="1:32" ht="15" customHeight="1">
      <c r="A154" s="16"/>
      <c r="B154" s="17" t="s">
        <v>23</v>
      </c>
      <c r="C154" s="18"/>
      <c r="D154" s="19"/>
      <c r="E154" s="28">
        <f>SUM(E150:E153)</f>
        <v>22.74</v>
      </c>
      <c r="F154" s="28">
        <f>SUM(F150:F153)</f>
        <v>20.63</v>
      </c>
      <c r="G154" s="28">
        <f aca="true" t="shared" si="40" ref="G154:T154">SUM(G150:G153)</f>
        <v>8.9</v>
      </c>
      <c r="H154" s="28">
        <f t="shared" si="40"/>
        <v>7.529999999999999</v>
      </c>
      <c r="I154" s="28">
        <f t="shared" si="40"/>
        <v>16.81</v>
      </c>
      <c r="J154" s="28">
        <f t="shared" si="40"/>
        <v>14.4</v>
      </c>
      <c r="K154" s="28">
        <f t="shared" si="40"/>
        <v>52.06</v>
      </c>
      <c r="L154" s="28">
        <f t="shared" si="40"/>
        <v>43.06</v>
      </c>
      <c r="M154" s="28">
        <f t="shared" si="40"/>
        <v>405.16999999999996</v>
      </c>
      <c r="N154" s="28">
        <f t="shared" si="40"/>
        <v>342.02000000000004</v>
      </c>
      <c r="O154" s="28">
        <f t="shared" si="40"/>
        <v>0.2733333333333333</v>
      </c>
      <c r="P154" s="28">
        <f t="shared" si="40"/>
        <v>0.21000000000000002</v>
      </c>
      <c r="Q154" s="28">
        <f t="shared" si="40"/>
        <v>0.21666666666666667</v>
      </c>
      <c r="R154" s="28">
        <f t="shared" si="40"/>
        <v>0.18000000000000002</v>
      </c>
      <c r="S154" s="28">
        <f t="shared" si="40"/>
        <v>61.04</v>
      </c>
      <c r="T154" s="28">
        <f t="shared" si="40"/>
        <v>58.730000000000004</v>
      </c>
      <c r="U154" s="28">
        <f aca="true" t="shared" si="41" ref="U154:AB154">SUM(U150:U153)</f>
        <v>131.74333333333334</v>
      </c>
      <c r="V154" s="28">
        <f t="shared" si="41"/>
        <v>109.17000000000002</v>
      </c>
      <c r="W154" s="28">
        <f t="shared" si="41"/>
        <v>7.029999999999999</v>
      </c>
      <c r="X154" s="28">
        <f t="shared" si="41"/>
        <v>6.0600000000000005</v>
      </c>
      <c r="Y154" s="28">
        <f t="shared" si="41"/>
        <v>0</v>
      </c>
      <c r="Z154" s="28">
        <f t="shared" si="41"/>
        <v>0</v>
      </c>
      <c r="AA154" s="28">
        <f t="shared" si="41"/>
        <v>0</v>
      </c>
      <c r="AB154" s="28">
        <f t="shared" si="41"/>
        <v>0</v>
      </c>
      <c r="AC154" s="75"/>
      <c r="AD154" s="75"/>
      <c r="AE154" s="75"/>
      <c r="AF154" s="22"/>
    </row>
    <row r="155" spans="1:32" ht="15" customHeight="1">
      <c r="A155" s="16"/>
      <c r="B155" s="17" t="s">
        <v>37</v>
      </c>
      <c r="C155" s="18"/>
      <c r="D155" s="18"/>
      <c r="E155" s="28">
        <f>E154+E148+E145+E136+E133</f>
        <v>119.44</v>
      </c>
      <c r="F155" s="28">
        <f>F154+F148+F145+F136+F133</f>
        <v>104.11</v>
      </c>
      <c r="G155" s="28">
        <f aca="true" t="shared" si="42" ref="G155:T155">G154+G148+G145+G136+G133</f>
        <v>69.39000000000001</v>
      </c>
      <c r="H155" s="28">
        <f t="shared" si="42"/>
        <v>60.23384615384616</v>
      </c>
      <c r="I155" s="28">
        <f t="shared" si="42"/>
        <v>66.71</v>
      </c>
      <c r="J155" s="28">
        <f t="shared" si="42"/>
        <v>57.25138461538462</v>
      </c>
      <c r="K155" s="28">
        <f t="shared" si="42"/>
        <v>248.46</v>
      </c>
      <c r="L155" s="28">
        <f t="shared" si="42"/>
        <v>192.62753846153845</v>
      </c>
      <c r="M155" s="28">
        <f t="shared" si="42"/>
        <v>1862.3999999999996</v>
      </c>
      <c r="N155" s="28">
        <f t="shared" si="42"/>
        <v>1492.7846153846153</v>
      </c>
      <c r="O155" s="28">
        <f t="shared" si="42"/>
        <v>0.9773333333333332</v>
      </c>
      <c r="P155" s="28">
        <f t="shared" si="42"/>
        <v>0.8268115942028985</v>
      </c>
      <c r="Q155" s="28">
        <f t="shared" si="42"/>
        <v>1.5886666666666667</v>
      </c>
      <c r="R155" s="28">
        <f t="shared" si="42"/>
        <v>1.3927536231884057</v>
      </c>
      <c r="S155" s="28">
        <f t="shared" si="42"/>
        <v>88.7</v>
      </c>
      <c r="T155" s="28">
        <f t="shared" si="42"/>
        <v>80.36500000000001</v>
      </c>
      <c r="U155" s="74">
        <f>U154+U148+U145+U136+U133</f>
        <v>1063.6303333333333</v>
      </c>
      <c r="V155" s="28">
        <f>V154+V148+V145+V136+V133</f>
        <v>913.5691666666667</v>
      </c>
      <c r="W155" s="28">
        <f>W154+W148+W145+W136+W133</f>
        <v>18.952</v>
      </c>
      <c r="X155" s="78">
        <f>X154+X148+X145+X136+X133</f>
        <v>16.490833333333335</v>
      </c>
      <c r="Y155" s="75"/>
      <c r="Z155" s="75"/>
      <c r="AA155" s="75"/>
      <c r="AB155" s="75"/>
      <c r="AC155" s="75"/>
      <c r="AD155" s="22"/>
      <c r="AE155" s="22"/>
      <c r="AF155" s="22"/>
    </row>
    <row r="156" spans="25:29" ht="15" customHeight="1">
      <c r="Y156" s="21"/>
      <c r="Z156" s="37"/>
      <c r="AA156" s="37"/>
      <c r="AB156" s="37"/>
      <c r="AC156" s="22"/>
    </row>
    <row r="157" spans="2:29" ht="15" customHeight="1">
      <c r="B157" s="42"/>
      <c r="C157" s="43"/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21"/>
      <c r="Z157" s="37"/>
      <c r="AA157" s="37"/>
      <c r="AB157" s="37"/>
      <c r="AC157" s="22"/>
    </row>
    <row r="158" spans="2:29" ht="15" customHeight="1">
      <c r="B158" s="42"/>
      <c r="C158" s="43"/>
      <c r="D158" s="4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21"/>
      <c r="Z158" s="37"/>
      <c r="AA158" s="37"/>
      <c r="AB158" s="37"/>
      <c r="AC158" s="22"/>
    </row>
    <row r="159" spans="2:29" ht="15" customHeight="1">
      <c r="B159" s="42"/>
      <c r="C159" s="43"/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21"/>
      <c r="Z159" s="37"/>
      <c r="AA159" s="37"/>
      <c r="AB159" s="37"/>
      <c r="AC159" s="22"/>
    </row>
    <row r="160" spans="2:29" ht="15" customHeight="1">
      <c r="B160" s="42"/>
      <c r="C160" s="43"/>
      <c r="D160" s="43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21"/>
      <c r="Z160" s="37"/>
      <c r="AA160" s="37"/>
      <c r="AB160" s="37"/>
      <c r="AC160" s="22"/>
    </row>
    <row r="161" spans="1:29" s="68" customFormat="1" ht="24" customHeight="1">
      <c r="A161" s="1"/>
      <c r="B161" s="167"/>
      <c r="C161" s="167"/>
      <c r="D161" s="167"/>
      <c r="E161" s="155" t="s">
        <v>4</v>
      </c>
      <c r="F161" s="155"/>
      <c r="G161" s="155" t="s">
        <v>5</v>
      </c>
      <c r="H161" s="155"/>
      <c r="I161" s="155"/>
      <c r="J161" s="155"/>
      <c r="K161" s="155"/>
      <c r="L161" s="155"/>
      <c r="M161" s="161" t="s">
        <v>6</v>
      </c>
      <c r="N161" s="161"/>
      <c r="O161" s="164" t="s">
        <v>7</v>
      </c>
      <c r="P161" s="164"/>
      <c r="Q161" s="164"/>
      <c r="R161" s="164"/>
      <c r="S161" s="164"/>
      <c r="T161" s="164"/>
      <c r="U161" s="165" t="s">
        <v>8</v>
      </c>
      <c r="V161" s="165"/>
      <c r="W161" s="165"/>
      <c r="X161" s="165"/>
      <c r="Y161" s="92"/>
      <c r="Z161" s="98"/>
      <c r="AA161" s="98"/>
      <c r="AB161" s="98"/>
      <c r="AC161" s="67"/>
    </row>
    <row r="162" spans="1:29" s="68" customFormat="1" ht="15" customHeight="1">
      <c r="A162" s="1"/>
      <c r="B162" s="167"/>
      <c r="C162" s="167"/>
      <c r="D162" s="167"/>
      <c r="E162" s="155"/>
      <c r="F162" s="155"/>
      <c r="G162" s="155" t="s">
        <v>9</v>
      </c>
      <c r="H162" s="155"/>
      <c r="I162" s="155" t="s">
        <v>10</v>
      </c>
      <c r="J162" s="155"/>
      <c r="K162" s="155" t="s">
        <v>11</v>
      </c>
      <c r="L162" s="155"/>
      <c r="M162" s="161"/>
      <c r="N162" s="161"/>
      <c r="O162" s="166" t="s">
        <v>70</v>
      </c>
      <c r="P162" s="166"/>
      <c r="Q162" s="166" t="s">
        <v>56</v>
      </c>
      <c r="R162" s="166"/>
      <c r="S162" s="166" t="s">
        <v>12</v>
      </c>
      <c r="T162" s="166"/>
      <c r="U162" s="166" t="s">
        <v>13</v>
      </c>
      <c r="V162" s="166"/>
      <c r="W162" s="168" t="s">
        <v>14</v>
      </c>
      <c r="X162" s="168"/>
      <c r="Y162" s="92"/>
      <c r="Z162" s="98"/>
      <c r="AA162" s="98"/>
      <c r="AB162" s="98"/>
      <c r="AC162" s="67"/>
    </row>
    <row r="163" spans="1:29" s="68" customFormat="1" ht="15" customHeight="1">
      <c r="A163" s="1"/>
      <c r="B163" s="167"/>
      <c r="C163" s="167"/>
      <c r="D163" s="167"/>
      <c r="E163" s="93" t="s">
        <v>15</v>
      </c>
      <c r="F163" s="93" t="s">
        <v>16</v>
      </c>
      <c r="G163" s="93" t="s">
        <v>15</v>
      </c>
      <c r="H163" s="93" t="s">
        <v>16</v>
      </c>
      <c r="I163" s="93" t="s">
        <v>15</v>
      </c>
      <c r="J163" s="93" t="s">
        <v>16</v>
      </c>
      <c r="K163" s="93" t="s">
        <v>15</v>
      </c>
      <c r="L163" s="93" t="s">
        <v>16</v>
      </c>
      <c r="M163" s="93" t="s">
        <v>15</v>
      </c>
      <c r="N163" s="93" t="s">
        <v>16</v>
      </c>
      <c r="O163" s="93" t="s">
        <v>15</v>
      </c>
      <c r="P163" s="93" t="s">
        <v>16</v>
      </c>
      <c r="Q163" s="93" t="s">
        <v>15</v>
      </c>
      <c r="R163" s="93" t="s">
        <v>16</v>
      </c>
      <c r="S163" s="93" t="s">
        <v>15</v>
      </c>
      <c r="T163" s="93" t="s">
        <v>16</v>
      </c>
      <c r="U163" s="93" t="s">
        <v>15</v>
      </c>
      <c r="V163" s="93" t="s">
        <v>16</v>
      </c>
      <c r="W163" s="93" t="s">
        <v>15</v>
      </c>
      <c r="X163" s="94" t="s">
        <v>16</v>
      </c>
      <c r="Y163" s="92"/>
      <c r="Z163" s="98"/>
      <c r="AA163" s="98"/>
      <c r="AB163" s="98"/>
      <c r="AC163" s="67"/>
    </row>
    <row r="164" spans="1:29" s="68" customFormat="1" ht="15" customHeight="1">
      <c r="A164" s="1"/>
      <c r="B164" s="169" t="s">
        <v>53</v>
      </c>
      <c r="C164" s="169"/>
      <c r="D164" s="169"/>
      <c r="E164" s="20">
        <f>E155+E126+E98+E69+E40</f>
        <v>608.1999999999999</v>
      </c>
      <c r="F164" s="20">
        <f>F155+F126+F98+F69+F40</f>
        <v>537.36</v>
      </c>
      <c r="G164" s="95">
        <f>G155-32+G126+G98+G69+G40</f>
        <v>282.8</v>
      </c>
      <c r="H164" s="95">
        <f>H155-56+H126+H98+H69+H40</f>
        <v>219.7082905982906</v>
      </c>
      <c r="I164" s="95">
        <f>I155+I126+2+I98+I69+I40</f>
        <v>302.8280769230769</v>
      </c>
      <c r="J164" s="95">
        <f>J155+J126-8+J98+J69+J40</f>
        <v>246.17538461538462</v>
      </c>
      <c r="K164" s="95">
        <f>K155+K126+5+K98+K69+K40</f>
        <v>1241.5088461538462</v>
      </c>
      <c r="L164" s="95">
        <f aca="true" t="shared" si="43" ref="L164:R164">L155+L126+L98+L69+L40</f>
        <v>1011.1158717948717</v>
      </c>
      <c r="M164" s="95">
        <f t="shared" si="43"/>
        <v>8886.38</v>
      </c>
      <c r="N164" s="95">
        <f t="shared" si="43"/>
        <v>7346.504893162394</v>
      </c>
      <c r="O164" s="20">
        <f t="shared" si="43"/>
        <v>4.752999999999999</v>
      </c>
      <c r="P164" s="20">
        <f t="shared" si="43"/>
        <v>3.7475040824658095</v>
      </c>
      <c r="Q164" s="20">
        <f t="shared" si="43"/>
        <v>6.7523333333333335</v>
      </c>
      <c r="R164" s="20">
        <f t="shared" si="43"/>
        <v>5.735183200653195</v>
      </c>
      <c r="S164" s="20">
        <f>S155-67+S126+S98+S69+S40</f>
        <v>261.89134615384614</v>
      </c>
      <c r="T164" s="20">
        <f>T155-52.5+T126+T98+T69+T40</f>
        <v>235.90083333333337</v>
      </c>
      <c r="U164" s="95" t="e">
        <f>U155+U126+U98+U69+U40</f>
        <v>#REF!</v>
      </c>
      <c r="V164" s="95" t="e">
        <f>V155+V126+V98+V69+V40</f>
        <v>#REF!</v>
      </c>
      <c r="W164" s="20" t="e">
        <f>W155+W126+W98+W69+W40</f>
        <v>#REF!</v>
      </c>
      <c r="X164" s="96" t="e">
        <f>X155+X126+X98+X69+X40</f>
        <v>#REF!</v>
      </c>
      <c r="Y164" s="92"/>
      <c r="Z164" s="98"/>
      <c r="AA164" s="98"/>
      <c r="AB164" s="98"/>
      <c r="AC164" s="67"/>
    </row>
    <row r="165" spans="1:29" s="68" customFormat="1" ht="15" customHeight="1">
      <c r="A165" s="1"/>
      <c r="B165" s="163" t="s">
        <v>54</v>
      </c>
      <c r="C165" s="163"/>
      <c r="D165" s="163"/>
      <c r="E165" s="20">
        <f>E164/5</f>
        <v>121.63999999999999</v>
      </c>
      <c r="F165" s="20">
        <f>F164/5</f>
        <v>107.47200000000001</v>
      </c>
      <c r="G165" s="20">
        <f aca="true" t="shared" si="44" ref="G165:X165">G164/5</f>
        <v>56.56</v>
      </c>
      <c r="H165" s="20">
        <f t="shared" si="44"/>
        <v>43.94165811965812</v>
      </c>
      <c r="I165" s="20">
        <f t="shared" si="44"/>
        <v>60.56561538461538</v>
      </c>
      <c r="J165" s="20">
        <f t="shared" si="44"/>
        <v>49.235076923076925</v>
      </c>
      <c r="K165" s="20">
        <f t="shared" si="44"/>
        <v>248.30176923076925</v>
      </c>
      <c r="L165" s="20">
        <f t="shared" si="44"/>
        <v>202.22317435897435</v>
      </c>
      <c r="M165" s="20">
        <f>M164/5</f>
        <v>1777.2759999999998</v>
      </c>
      <c r="N165" s="20">
        <f>N164/5</f>
        <v>1469.3009786324787</v>
      </c>
      <c r="O165" s="97">
        <f t="shared" si="44"/>
        <v>0.9505999999999999</v>
      </c>
      <c r="P165" s="97">
        <f t="shared" si="44"/>
        <v>0.7495008164931619</v>
      </c>
      <c r="Q165" s="97">
        <f t="shared" si="44"/>
        <v>1.3504666666666667</v>
      </c>
      <c r="R165" s="97">
        <f t="shared" si="44"/>
        <v>1.1470366401306389</v>
      </c>
      <c r="S165" s="20">
        <f t="shared" si="44"/>
        <v>52.37826923076923</v>
      </c>
      <c r="T165" s="20">
        <f t="shared" si="44"/>
        <v>47.18016666666667</v>
      </c>
      <c r="U165" s="20" t="e">
        <f t="shared" si="44"/>
        <v>#REF!</v>
      </c>
      <c r="V165" s="20" t="e">
        <f t="shared" si="44"/>
        <v>#REF!</v>
      </c>
      <c r="W165" s="39" t="e">
        <f t="shared" si="44"/>
        <v>#REF!</v>
      </c>
      <c r="X165" s="62" t="e">
        <f t="shared" si="44"/>
        <v>#REF!</v>
      </c>
      <c r="Y165" s="67"/>
      <c r="Z165" s="98"/>
      <c r="AA165" s="98"/>
      <c r="AB165" s="98"/>
      <c r="AC165" s="67"/>
    </row>
    <row r="166" spans="1:29" s="68" customFormat="1" ht="15" customHeight="1">
      <c r="A166" s="1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6"/>
      <c r="N166" s="47"/>
      <c r="X166" s="67"/>
      <c r="Y166" s="67"/>
      <c r="Z166" s="67"/>
      <c r="AA166" s="67"/>
      <c r="AB166" s="67"/>
      <c r="AC166" s="67"/>
    </row>
    <row r="167" spans="1:29" s="68" customFormat="1" ht="15" customHeight="1">
      <c r="A167" s="1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X167" s="67"/>
      <c r="Y167" s="67"/>
      <c r="Z167" s="67"/>
      <c r="AA167" s="67"/>
      <c r="AB167" s="67"/>
      <c r="AC167" s="67"/>
    </row>
    <row r="168" spans="1:29" s="68" customFormat="1" ht="15" customHeight="1">
      <c r="A168" s="1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X168" s="67"/>
      <c r="Y168" s="67"/>
      <c r="Z168" s="67"/>
      <c r="AA168" s="67"/>
      <c r="AB168" s="67"/>
      <c r="AC168" s="67"/>
    </row>
    <row r="169" spans="1:25" s="68" customFormat="1" ht="15" customHeight="1">
      <c r="A169" s="1"/>
      <c r="B169" s="48" t="s">
        <v>62</v>
      </c>
      <c r="C169" s="48"/>
      <c r="D169" s="48"/>
      <c r="E169" s="101"/>
      <c r="F169" s="101"/>
      <c r="G169" s="48"/>
      <c r="H169" s="48"/>
      <c r="I169" s="48"/>
      <c r="J169" s="48"/>
      <c r="K169" s="48"/>
      <c r="L169" s="48"/>
      <c r="X169" s="67"/>
      <c r="Y169" s="67"/>
    </row>
    <row r="170" spans="1:25" s="68" customFormat="1" ht="15" customHeight="1">
      <c r="A170" s="1"/>
      <c r="B170" s="48" t="s">
        <v>55</v>
      </c>
      <c r="C170" s="48"/>
      <c r="D170" s="48"/>
      <c r="E170" s="101"/>
      <c r="F170" s="101"/>
      <c r="G170" s="48"/>
      <c r="H170" s="48"/>
      <c r="I170" s="48"/>
      <c r="J170" s="48"/>
      <c r="K170" s="48"/>
      <c r="L170" s="48"/>
      <c r="X170" s="67"/>
      <c r="Y170" s="67"/>
    </row>
    <row r="171" spans="1:25" s="68" customFormat="1" ht="15" customHeight="1">
      <c r="A171" s="1"/>
      <c r="B171" s="48"/>
      <c r="C171" s="48"/>
      <c r="D171" s="48"/>
      <c r="E171" s="101"/>
      <c r="F171" s="101"/>
      <c r="G171" s="48"/>
      <c r="H171" s="48"/>
      <c r="I171" s="48"/>
      <c r="J171" s="48"/>
      <c r="K171" s="48"/>
      <c r="L171" s="48"/>
      <c r="X171" s="67"/>
      <c r="Y171" s="67"/>
    </row>
    <row r="172" spans="1:14" s="68" customFormat="1" ht="15" customHeight="1">
      <c r="A172" s="1"/>
      <c r="B172" s="54"/>
      <c r="C172" s="54"/>
      <c r="D172" s="54"/>
      <c r="E172" s="55"/>
      <c r="F172" s="56"/>
      <c r="G172" s="57"/>
      <c r="H172" s="57"/>
      <c r="I172" s="57"/>
      <c r="J172" s="57"/>
      <c r="K172" s="100"/>
      <c r="L172" s="100"/>
      <c r="M172" s="100"/>
      <c r="N172" s="100"/>
    </row>
    <row r="173" spans="1:14" s="68" customFormat="1" ht="15" customHeight="1">
      <c r="A173" s="1"/>
      <c r="B173" s="49" t="s">
        <v>57</v>
      </c>
      <c r="C173" s="50"/>
      <c r="D173" s="58"/>
      <c r="E173" s="104"/>
      <c r="F173" s="104"/>
      <c r="G173" s="58"/>
      <c r="H173" s="50"/>
      <c r="I173" s="50"/>
      <c r="J173" s="50" t="s">
        <v>58</v>
      </c>
      <c r="K173" s="50"/>
      <c r="L173" s="50"/>
      <c r="M173" s="47"/>
      <c r="N173" s="47"/>
    </row>
    <row r="174" spans="1:14" s="68" customFormat="1" ht="15" customHeight="1">
      <c r="A174" s="1"/>
      <c r="B174" s="49"/>
      <c r="C174" s="50"/>
      <c r="D174" s="58"/>
      <c r="E174" s="104"/>
      <c r="F174" s="104"/>
      <c r="G174" s="58"/>
      <c r="H174" s="50"/>
      <c r="I174" s="50"/>
      <c r="J174" s="50"/>
      <c r="K174" s="50"/>
      <c r="L174" s="50"/>
      <c r="M174" s="47"/>
      <c r="N174" s="47"/>
    </row>
    <row r="175" spans="1:14" s="68" customFormat="1" ht="15" customHeight="1">
      <c r="A175" s="1"/>
      <c r="B175" s="51" t="s">
        <v>59</v>
      </c>
      <c r="C175" s="51"/>
      <c r="D175" s="51"/>
      <c r="E175" s="103"/>
      <c r="F175" s="103"/>
      <c r="G175" s="51"/>
      <c r="H175" s="50"/>
      <c r="I175" s="51"/>
      <c r="J175" s="50" t="s">
        <v>60</v>
      </c>
      <c r="K175" s="50"/>
      <c r="L175" s="50"/>
      <c r="M175" s="47"/>
      <c r="N175" s="47"/>
    </row>
    <row r="176" spans="1:14" s="68" customFormat="1" ht="15" customHeight="1">
      <c r="A176" s="1"/>
      <c r="B176" s="49"/>
      <c r="C176" s="50"/>
      <c r="D176" s="50"/>
      <c r="E176" s="102"/>
      <c r="F176" s="102"/>
      <c r="G176" s="50"/>
      <c r="H176" s="50"/>
      <c r="I176" s="50"/>
      <c r="J176" s="50"/>
      <c r="K176" s="50"/>
      <c r="L176" s="50"/>
      <c r="M176" s="47"/>
      <c r="N176" s="47"/>
    </row>
    <row r="177" spans="1:14" s="68" customFormat="1" ht="15" customHeight="1">
      <c r="A177" s="1"/>
      <c r="B177" s="110" t="s">
        <v>88</v>
      </c>
      <c r="C177" s="49"/>
      <c r="D177" s="49"/>
      <c r="E177" s="50"/>
      <c r="F177" s="50"/>
      <c r="G177" s="49"/>
      <c r="H177" s="49"/>
      <c r="I177" s="49"/>
      <c r="J177" s="110" t="s">
        <v>146</v>
      </c>
      <c r="K177" s="49"/>
      <c r="L177" s="50"/>
      <c r="M177" s="99"/>
      <c r="N177" s="99"/>
    </row>
    <row r="178" spans="1:14" s="68" customFormat="1" ht="15" customHeight="1">
      <c r="A178" s="1"/>
      <c r="B178" s="49"/>
      <c r="C178" s="50"/>
      <c r="D178" s="50"/>
      <c r="E178" s="102"/>
      <c r="F178" s="102"/>
      <c r="G178" s="50"/>
      <c r="H178" s="50"/>
      <c r="I178" s="50"/>
      <c r="J178" s="50"/>
      <c r="K178" s="50"/>
      <c r="L178" s="50"/>
      <c r="M178" s="99"/>
      <c r="N178" s="99"/>
    </row>
    <row r="179" spans="1:14" s="68" customFormat="1" ht="15" customHeight="1">
      <c r="A179" s="1"/>
      <c r="B179" s="51" t="s">
        <v>141</v>
      </c>
      <c r="C179" s="103"/>
      <c r="D179" s="103"/>
      <c r="E179" s="103"/>
      <c r="F179" s="103"/>
      <c r="G179" s="51"/>
      <c r="H179" s="51"/>
      <c r="I179" s="51"/>
      <c r="J179" s="50" t="s">
        <v>142</v>
      </c>
      <c r="K179" s="50"/>
      <c r="L179" s="50"/>
      <c r="M179" s="99"/>
      <c r="N179" s="99"/>
    </row>
    <row r="180" spans="1:14" s="68" customFormat="1" ht="15" customHeight="1">
      <c r="A180" s="1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s="68" customFormat="1" ht="15" customHeight="1">
      <c r="A181" s="1"/>
      <c r="B181" s="52"/>
      <c r="C181" s="52"/>
      <c r="D181" s="52"/>
      <c r="E181" s="53"/>
      <c r="F181" s="53"/>
      <c r="G181" s="52"/>
      <c r="H181" s="52"/>
      <c r="I181" s="52"/>
      <c r="J181" s="52"/>
      <c r="K181" s="52"/>
      <c r="L181" s="52"/>
      <c r="M181" s="99"/>
      <c r="N181" s="99"/>
    </row>
    <row r="182" spans="1:14" s="68" customFormat="1" ht="15" customHeight="1">
      <c r="A182" s="1"/>
      <c r="B182" s="52"/>
      <c r="C182" s="52"/>
      <c r="D182" s="52"/>
      <c r="E182" s="53"/>
      <c r="F182" s="53"/>
      <c r="G182" s="52"/>
      <c r="H182" s="52"/>
      <c r="I182" s="52"/>
      <c r="J182" s="52"/>
      <c r="K182" s="52"/>
      <c r="L182" s="52"/>
      <c r="M182" s="99"/>
      <c r="N182" s="99"/>
    </row>
    <row r="183" spans="1:14" s="68" customFormat="1" ht="12.75">
      <c r="A183" s="1"/>
      <c r="B183" s="2"/>
      <c r="C183" s="2"/>
      <c r="D183" s="2"/>
      <c r="E183" s="3"/>
      <c r="F183" s="3"/>
      <c r="G183" s="2"/>
      <c r="H183" s="2"/>
      <c r="I183" s="2"/>
      <c r="J183" s="2"/>
      <c r="K183" s="2"/>
      <c r="L183" s="2"/>
      <c r="M183" s="2"/>
      <c r="N183" s="2"/>
    </row>
    <row r="184" spans="1:14" s="68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8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8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8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8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8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8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8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8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8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8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8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8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8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8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8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8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8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8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8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8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8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8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8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8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8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8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8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8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8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8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8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8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8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8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8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8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8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8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8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8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8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8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8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8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8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8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8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8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8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8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8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8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8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8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8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8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8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8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8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8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8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8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8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8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8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8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8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8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8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8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8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8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8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8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  <row r="259" spans="1:14" s="68" customFormat="1" ht="12.75">
      <c r="A259" s="1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</row>
    <row r="260" spans="1:14" s="68" customFormat="1" ht="12.75">
      <c r="A260" s="1"/>
      <c r="B260" s="2"/>
      <c r="C260" s="2"/>
      <c r="D260" s="2"/>
      <c r="E260" s="3"/>
      <c r="F260" s="3"/>
      <c r="G260" s="2"/>
      <c r="H260" s="2"/>
      <c r="I260" s="2"/>
      <c r="J260" s="2"/>
      <c r="K260" s="2"/>
      <c r="L260" s="2"/>
      <c r="M260" s="2"/>
      <c r="N260" s="2"/>
    </row>
    <row r="261" spans="1:14" s="68" customFormat="1" ht="12.75">
      <c r="A261" s="1"/>
      <c r="B261" s="2"/>
      <c r="C261" s="2"/>
      <c r="D261" s="2"/>
      <c r="E261" s="3"/>
      <c r="F261" s="3"/>
      <c r="G261" s="2"/>
      <c r="H261" s="2"/>
      <c r="I261" s="2"/>
      <c r="J261" s="2"/>
      <c r="K261" s="2"/>
      <c r="L261" s="2"/>
      <c r="M261" s="2"/>
      <c r="N261" s="2"/>
    </row>
    <row r="262" spans="1:14" s="68" customFormat="1" ht="12.75">
      <c r="A262" s="1"/>
      <c r="B262" s="2"/>
      <c r="C262" s="2"/>
      <c r="D262" s="2"/>
      <c r="E262" s="3"/>
      <c r="F262" s="3"/>
      <c r="G262" s="2"/>
      <c r="H262" s="2"/>
      <c r="I262" s="2"/>
      <c r="J262" s="2"/>
      <c r="K262" s="2"/>
      <c r="L262" s="2"/>
      <c r="M262" s="2"/>
      <c r="N262" s="2"/>
    </row>
    <row r="263" spans="1:14" s="68" customFormat="1" ht="12.75">
      <c r="A263" s="1"/>
      <c r="B263" s="2"/>
      <c r="C263" s="2"/>
      <c r="D263" s="2"/>
      <c r="E263" s="3"/>
      <c r="F263" s="3"/>
      <c r="G263" s="2"/>
      <c r="H263" s="2"/>
      <c r="I263" s="2"/>
      <c r="J263" s="2"/>
      <c r="K263" s="2"/>
      <c r="L263" s="2"/>
      <c r="M263" s="2"/>
      <c r="N263" s="2"/>
    </row>
    <row r="264" spans="1:14" s="68" customFormat="1" ht="12.75">
      <c r="A264" s="1"/>
      <c r="B264" s="2"/>
      <c r="C264" s="2"/>
      <c r="D264" s="2"/>
      <c r="E264" s="3"/>
      <c r="F264" s="3"/>
      <c r="G264" s="2"/>
      <c r="H264" s="2"/>
      <c r="I264" s="2"/>
      <c r="J264" s="2"/>
      <c r="K264" s="2"/>
      <c r="L264" s="2"/>
      <c r="M264" s="2"/>
      <c r="N264" s="2"/>
    </row>
    <row r="265" spans="1:14" s="68" customFormat="1" ht="12.75">
      <c r="A265" s="1"/>
      <c r="B265" s="2"/>
      <c r="C265" s="2"/>
      <c r="D265" s="2"/>
      <c r="E265" s="3"/>
      <c r="F265" s="3"/>
      <c r="G265" s="2"/>
      <c r="H265" s="2"/>
      <c r="I265" s="2"/>
      <c r="J265" s="2"/>
      <c r="K265" s="2"/>
      <c r="L265" s="2"/>
      <c r="M265" s="2"/>
      <c r="N265" s="2"/>
    </row>
    <row r="266" spans="1:14" s="68" customFormat="1" ht="12.75">
      <c r="A266" s="1"/>
      <c r="B266" s="2"/>
      <c r="C266" s="2"/>
      <c r="D266" s="2"/>
      <c r="E266" s="3"/>
      <c r="F266" s="3"/>
      <c r="G266" s="2"/>
      <c r="H266" s="2"/>
      <c r="I266" s="2"/>
      <c r="J266" s="2"/>
      <c r="K266" s="2"/>
      <c r="L266" s="2"/>
      <c r="M266" s="2"/>
      <c r="N266" s="2"/>
    </row>
    <row r="267" spans="1:14" s="68" customFormat="1" ht="12.75">
      <c r="A267" s="1"/>
      <c r="B267" s="2"/>
      <c r="C267" s="2"/>
      <c r="D267" s="2"/>
      <c r="E267" s="3"/>
      <c r="F267" s="3"/>
      <c r="G267" s="2"/>
      <c r="H267" s="2"/>
      <c r="I267" s="2"/>
      <c r="J267" s="2"/>
      <c r="K267" s="2"/>
      <c r="L267" s="2"/>
      <c r="M267" s="2"/>
      <c r="N267" s="2"/>
    </row>
    <row r="268" spans="1:14" s="68" customFormat="1" ht="12.75">
      <c r="A268" s="1"/>
      <c r="B268" s="2"/>
      <c r="C268" s="2"/>
      <c r="D268" s="2"/>
      <c r="E268" s="3"/>
      <c r="F268" s="3"/>
      <c r="G268" s="2"/>
      <c r="H268" s="2"/>
      <c r="I268" s="2"/>
      <c r="J268" s="2"/>
      <c r="K268" s="2"/>
      <c r="L268" s="2"/>
      <c r="M268" s="2"/>
      <c r="N268" s="2"/>
    </row>
    <row r="269" spans="1:14" s="68" customFormat="1" ht="12.75">
      <c r="A269" s="1"/>
      <c r="B269" s="2"/>
      <c r="C269" s="2"/>
      <c r="D269" s="2"/>
      <c r="E269" s="3"/>
      <c r="F269" s="3"/>
      <c r="G269" s="2"/>
      <c r="H269" s="2"/>
      <c r="I269" s="2"/>
      <c r="J269" s="2"/>
      <c r="K269" s="2"/>
      <c r="L269" s="2"/>
      <c r="M269" s="2"/>
      <c r="N269" s="2"/>
    </row>
    <row r="270" spans="1:14" s="68" customFormat="1" ht="12.75">
      <c r="A270" s="1"/>
      <c r="B270" s="2"/>
      <c r="C270" s="2"/>
      <c r="D270" s="2"/>
      <c r="E270" s="3"/>
      <c r="F270" s="3"/>
      <c r="G270" s="2"/>
      <c r="H270" s="2"/>
      <c r="I270" s="2"/>
      <c r="J270" s="2"/>
      <c r="K270" s="2"/>
      <c r="L270" s="2"/>
      <c r="M270" s="2"/>
      <c r="N270" s="2"/>
    </row>
    <row r="271" spans="1:14" s="68" customFormat="1" ht="12.75">
      <c r="A271" s="1"/>
      <c r="B271" s="2"/>
      <c r="C271" s="2"/>
      <c r="D271" s="2"/>
      <c r="E271" s="3"/>
      <c r="F271" s="3"/>
      <c r="G271" s="2"/>
      <c r="H271" s="2"/>
      <c r="I271" s="2"/>
      <c r="J271" s="2"/>
      <c r="K271" s="2"/>
      <c r="L271" s="2"/>
      <c r="M271" s="2"/>
      <c r="N271" s="2"/>
    </row>
    <row r="272" spans="1:14" s="68" customFormat="1" ht="12.75">
      <c r="A272" s="1"/>
      <c r="B272" s="2"/>
      <c r="C272" s="2"/>
      <c r="D272" s="2"/>
      <c r="E272" s="3"/>
      <c r="F272" s="3"/>
      <c r="G272" s="2"/>
      <c r="H272" s="2"/>
      <c r="I272" s="2"/>
      <c r="J272" s="2"/>
      <c r="K272" s="2"/>
      <c r="L272" s="2"/>
      <c r="M272" s="2"/>
      <c r="N272" s="2"/>
    </row>
    <row r="273" spans="1:14" s="68" customFormat="1" ht="12.75">
      <c r="A273" s="1"/>
      <c r="B273" s="2"/>
      <c r="C273" s="2"/>
      <c r="D273" s="2"/>
      <c r="E273" s="3"/>
      <c r="F273" s="3"/>
      <c r="G273" s="2"/>
      <c r="H273" s="2"/>
      <c r="I273" s="2"/>
      <c r="J273" s="2"/>
      <c r="K273" s="2"/>
      <c r="L273" s="2"/>
      <c r="M273" s="2"/>
      <c r="N273" s="2"/>
    </row>
    <row r="274" spans="1:14" s="68" customFormat="1" ht="12.75">
      <c r="A274" s="1"/>
      <c r="B274" s="2"/>
      <c r="C274" s="2"/>
      <c r="D274" s="2"/>
      <c r="E274" s="3"/>
      <c r="F274" s="3"/>
      <c r="G274" s="2"/>
      <c r="H274" s="2"/>
      <c r="I274" s="2"/>
      <c r="J274" s="2"/>
      <c r="K274" s="2"/>
      <c r="L274" s="2"/>
      <c r="M274" s="2"/>
      <c r="N274" s="2"/>
    </row>
    <row r="275" spans="1:14" s="68" customFormat="1" ht="12.75">
      <c r="A275" s="1"/>
      <c r="B275" s="2"/>
      <c r="C275" s="2"/>
      <c r="D275" s="2"/>
      <c r="E275" s="3"/>
      <c r="F275" s="3"/>
      <c r="G275" s="2"/>
      <c r="H275" s="2"/>
      <c r="I275" s="2"/>
      <c r="J275" s="2"/>
      <c r="K275" s="2"/>
      <c r="L275" s="2"/>
      <c r="M275" s="2"/>
      <c r="N275" s="2"/>
    </row>
    <row r="276" spans="1:14" s="68" customFormat="1" ht="12.75">
      <c r="A276" s="1"/>
      <c r="B276" s="2"/>
      <c r="C276" s="2"/>
      <c r="D276" s="2"/>
      <c r="E276" s="3"/>
      <c r="F276" s="3"/>
      <c r="G276" s="2"/>
      <c r="H276" s="2"/>
      <c r="I276" s="2"/>
      <c r="J276" s="2"/>
      <c r="K276" s="2"/>
      <c r="L276" s="2"/>
      <c r="M276" s="2"/>
      <c r="N276" s="2"/>
    </row>
    <row r="277" spans="1:14" s="68" customFormat="1" ht="12.75">
      <c r="A277" s="1"/>
      <c r="B277" s="2"/>
      <c r="C277" s="2"/>
      <c r="D277" s="2"/>
      <c r="E277" s="3"/>
      <c r="F277" s="3"/>
      <c r="G277" s="2"/>
      <c r="H277" s="2"/>
      <c r="I277" s="2"/>
      <c r="J277" s="2"/>
      <c r="K277" s="2"/>
      <c r="L277" s="2"/>
      <c r="M277" s="2"/>
      <c r="N277" s="2"/>
    </row>
    <row r="278" spans="1:14" s="68" customFormat="1" ht="12.75">
      <c r="A278" s="1"/>
      <c r="B278" s="2"/>
      <c r="C278" s="2"/>
      <c r="D278" s="2"/>
      <c r="E278" s="3"/>
      <c r="F278" s="3"/>
      <c r="G278" s="2"/>
      <c r="H278" s="2"/>
      <c r="I278" s="2"/>
      <c r="J278" s="2"/>
      <c r="K278" s="2"/>
      <c r="L278" s="2"/>
      <c r="M278" s="2"/>
      <c r="N278" s="2"/>
    </row>
    <row r="279" spans="1:14" s="68" customFormat="1" ht="12.75">
      <c r="A279" s="1"/>
      <c r="B279" s="2"/>
      <c r="C279" s="2"/>
      <c r="D279" s="2"/>
      <c r="E279" s="3"/>
      <c r="F279" s="3"/>
      <c r="G279" s="2"/>
      <c r="H279" s="2"/>
      <c r="I279" s="2"/>
      <c r="J279" s="2"/>
      <c r="K279" s="2"/>
      <c r="L279" s="2"/>
      <c r="M279" s="2"/>
      <c r="N279" s="2"/>
    </row>
    <row r="280" spans="1:14" s="68" customFormat="1" ht="12.75">
      <c r="A280" s="1"/>
      <c r="B280" s="2"/>
      <c r="C280" s="2"/>
      <c r="D280" s="2"/>
      <c r="E280" s="3"/>
      <c r="F280" s="3"/>
      <c r="G280" s="2"/>
      <c r="H280" s="2"/>
      <c r="I280" s="2"/>
      <c r="J280" s="2"/>
      <c r="K280" s="2"/>
      <c r="L280" s="2"/>
      <c r="M280" s="2"/>
      <c r="N280" s="2"/>
    </row>
    <row r="281" spans="1:14" s="68" customFormat="1" ht="12.75">
      <c r="A281" s="1"/>
      <c r="B281" s="2"/>
      <c r="C281" s="2"/>
      <c r="D281" s="2"/>
      <c r="E281" s="3"/>
      <c r="F281" s="3"/>
      <c r="G281" s="2"/>
      <c r="H281" s="2"/>
      <c r="I281" s="2"/>
      <c r="J281" s="2"/>
      <c r="K281" s="2"/>
      <c r="L281" s="2"/>
      <c r="M281" s="2"/>
      <c r="N281" s="2"/>
    </row>
    <row r="282" spans="1:14" s="68" customFormat="1" ht="12.75">
      <c r="A282" s="1"/>
      <c r="B282" s="2"/>
      <c r="C282" s="2"/>
      <c r="D282" s="2"/>
      <c r="E282" s="3"/>
      <c r="F282" s="3"/>
      <c r="G282" s="2"/>
      <c r="H282" s="2"/>
      <c r="I282" s="2"/>
      <c r="J282" s="2"/>
      <c r="K282" s="2"/>
      <c r="L282" s="2"/>
      <c r="M282" s="2"/>
      <c r="N282" s="2"/>
    </row>
    <row r="283" spans="1:14" s="68" customFormat="1" ht="12.75">
      <c r="A283" s="1"/>
      <c r="B283" s="2"/>
      <c r="C283" s="2"/>
      <c r="D283" s="2"/>
      <c r="E283" s="3"/>
      <c r="F283" s="3"/>
      <c r="G283" s="2"/>
      <c r="H283" s="2"/>
      <c r="I283" s="2"/>
      <c r="J283" s="2"/>
      <c r="K283" s="2"/>
      <c r="L283" s="2"/>
      <c r="M283" s="2"/>
      <c r="N283" s="2"/>
    </row>
    <row r="284" spans="1:14" s="68" customFormat="1" ht="12.75">
      <c r="A284" s="1"/>
      <c r="B284" s="2"/>
      <c r="C284" s="2"/>
      <c r="D284" s="2"/>
      <c r="E284" s="3"/>
      <c r="F284" s="3"/>
      <c r="G284" s="2"/>
      <c r="H284" s="2"/>
      <c r="I284" s="2"/>
      <c r="J284" s="2"/>
      <c r="K284" s="2"/>
      <c r="L284" s="2"/>
      <c r="M284" s="2"/>
      <c r="N284" s="2"/>
    </row>
    <row r="285" spans="1:14" s="68" customFormat="1" ht="12.75">
      <c r="A285" s="1"/>
      <c r="B285" s="2"/>
      <c r="C285" s="2"/>
      <c r="D285" s="2"/>
      <c r="E285" s="3"/>
      <c r="F285" s="3"/>
      <c r="G285" s="2"/>
      <c r="H285" s="2"/>
      <c r="I285" s="2"/>
      <c r="J285" s="2"/>
      <c r="K285" s="2"/>
      <c r="L285" s="2"/>
      <c r="M285" s="2"/>
      <c r="N285" s="2"/>
    </row>
    <row r="286" spans="1:14" s="68" customFormat="1" ht="12.75">
      <c r="A286" s="1"/>
      <c r="B286" s="2"/>
      <c r="C286" s="2"/>
      <c r="D286" s="2"/>
      <c r="E286" s="3"/>
      <c r="F286" s="3"/>
      <c r="G286" s="2"/>
      <c r="H286" s="2"/>
      <c r="I286" s="2"/>
      <c r="J286" s="2"/>
      <c r="K286" s="2"/>
      <c r="L286" s="2"/>
      <c r="M286" s="2"/>
      <c r="N286" s="2"/>
    </row>
  </sheetData>
  <sheetProtection/>
  <mergeCells count="34">
    <mergeCell ref="W162:X162"/>
    <mergeCell ref="B164:D164"/>
    <mergeCell ref="I162:J162"/>
    <mergeCell ref="K162:L162"/>
    <mergeCell ref="O162:P162"/>
    <mergeCell ref="Q162:R162"/>
    <mergeCell ref="B165:D165"/>
    <mergeCell ref="O161:T161"/>
    <mergeCell ref="U161:X161"/>
    <mergeCell ref="G162:H162"/>
    <mergeCell ref="S162:T162"/>
    <mergeCell ref="U162:V162"/>
    <mergeCell ref="B161:D163"/>
    <mergeCell ref="E161:F162"/>
    <mergeCell ref="G161:L161"/>
    <mergeCell ref="M161:N162"/>
    <mergeCell ref="B10:B11"/>
    <mergeCell ref="C10:D11"/>
    <mergeCell ref="E10:F11"/>
    <mergeCell ref="G10:L10"/>
    <mergeCell ref="M10:N11"/>
    <mergeCell ref="O10:T10"/>
    <mergeCell ref="I11:J11"/>
    <mergeCell ref="K11:L11"/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2018-01-16T11:13:02Z</cp:lastPrinted>
  <dcterms:created xsi:type="dcterms:W3CDTF">2018-01-22T06:58:55Z</dcterms:created>
  <dcterms:modified xsi:type="dcterms:W3CDTF">2018-01-22T06:58:56Z</dcterms:modified>
  <cp:category/>
  <cp:version/>
  <cp:contentType/>
  <cp:contentStatus/>
</cp:coreProperties>
</file>